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tka\LEADER\Leader práce\MAS SPLAV\Činnost 2016\SCLLD\SCLLD k odeslání\"/>
    </mc:Choice>
  </mc:AlternateContent>
  <bookViews>
    <workbookView xWindow="0" yWindow="0" windowWidth="19200" windowHeight="11595" firstSheet="3" activeTab="10"/>
  </bookViews>
  <sheets>
    <sheet name="Finanční plán podle SCLLD " sheetId="9" r:id="rId1"/>
    <sheet name="2016" sheetId="4" r:id="rId2"/>
    <sheet name="2017" sheetId="5" r:id="rId3"/>
    <sheet name="2018" sheetId="6" r:id="rId4"/>
    <sheet name="2019" sheetId="7" r:id="rId5"/>
    <sheet name="2020" sheetId="3" r:id="rId6"/>
    <sheet name="2021" sheetId="8" r:id="rId7"/>
    <sheet name="2022" sheetId="10" r:id="rId8"/>
    <sheet name="2023" sheetId="11" r:id="rId9"/>
    <sheet name="Finanční plán podle OP" sheetId="12" r:id="rId10"/>
    <sheet name="indikátory" sheetId="13" r:id="rId11"/>
  </sheets>
  <calcPr calcId="152511"/>
</workbook>
</file>

<file path=xl/calcChain.xml><?xml version="1.0" encoding="utf-8"?>
<calcChain xmlns="http://schemas.openxmlformats.org/spreadsheetml/2006/main">
  <c r="N25" i="9" l="1"/>
  <c r="G13" i="10"/>
  <c r="K13" i="10" s="1"/>
  <c r="G12" i="10"/>
  <c r="J12" i="10" s="1"/>
  <c r="G13" i="8"/>
  <c r="J13" i="8" s="1"/>
  <c r="G12" i="8"/>
  <c r="K12" i="8" s="1"/>
  <c r="K13" i="8" l="1"/>
  <c r="J12" i="8"/>
  <c r="K12" i="10"/>
  <c r="J13" i="10"/>
  <c r="H25" i="8"/>
  <c r="I25" i="8" s="1"/>
  <c r="G25" i="8" s="1"/>
  <c r="H25" i="7"/>
  <c r="I25" i="7" s="1"/>
  <c r="G25" i="7" s="1"/>
  <c r="H25" i="6"/>
  <c r="I25" i="6" s="1"/>
  <c r="G25" i="6" l="1"/>
  <c r="J25" i="8"/>
  <c r="K25" i="8"/>
  <c r="J25" i="7"/>
  <c r="K25" i="7"/>
  <c r="H25" i="9"/>
  <c r="I25" i="9" s="1"/>
  <c r="J25" i="6" l="1"/>
  <c r="K25" i="6"/>
  <c r="G25" i="9"/>
  <c r="J25" i="9" l="1"/>
  <c r="K25" i="9"/>
  <c r="G6" i="4" l="1"/>
  <c r="K34" i="4"/>
  <c r="J34" i="4"/>
  <c r="I34" i="4"/>
  <c r="H34" i="4"/>
  <c r="G34" i="4"/>
  <c r="G33" i="4"/>
  <c r="I31" i="4"/>
  <c r="H31" i="4"/>
  <c r="I28" i="4"/>
  <c r="G28" i="4" s="1"/>
  <c r="J28" i="4" s="1"/>
  <c r="I27" i="4"/>
  <c r="I26" i="4"/>
  <c r="G26" i="4" s="1"/>
  <c r="J26" i="4" s="1"/>
  <c r="I24" i="4"/>
  <c r="G24" i="4"/>
  <c r="K24" i="4" s="1"/>
  <c r="K23" i="4"/>
  <c r="J23" i="4"/>
  <c r="I23" i="4"/>
  <c r="H23" i="4"/>
  <c r="K22" i="4"/>
  <c r="J22" i="4"/>
  <c r="I22" i="4"/>
  <c r="H22" i="4"/>
  <c r="G21" i="4"/>
  <c r="K21" i="4" s="1"/>
  <c r="I20" i="4"/>
  <c r="G20" i="4" s="1"/>
  <c r="J20" i="4" s="1"/>
  <c r="G19" i="4"/>
  <c r="J19" i="4" s="1"/>
  <c r="K18" i="4"/>
  <c r="J18" i="4"/>
  <c r="I18" i="4"/>
  <c r="H18" i="4"/>
  <c r="K17" i="4"/>
  <c r="J17" i="4"/>
  <c r="I17" i="4"/>
  <c r="I33" i="4" s="1"/>
  <c r="H17" i="4"/>
  <c r="G16" i="4"/>
  <c r="J16" i="4" s="1"/>
  <c r="G15" i="4"/>
  <c r="K15" i="4" s="1"/>
  <c r="G14" i="4"/>
  <c r="J14" i="4" s="1"/>
  <c r="I11" i="4"/>
  <c r="I10" i="4"/>
  <c r="G10" i="4"/>
  <c r="J10" i="4" s="1"/>
  <c r="I9" i="4"/>
  <c r="G9" i="4" s="1"/>
  <c r="G8" i="4"/>
  <c r="K8" i="4" s="1"/>
  <c r="G7" i="4"/>
  <c r="J7" i="4" s="1"/>
  <c r="J6" i="4"/>
  <c r="K34" i="5"/>
  <c r="J34" i="5"/>
  <c r="I34" i="5"/>
  <c r="H34" i="5"/>
  <c r="G34" i="5"/>
  <c r="G33" i="5"/>
  <c r="I31" i="5"/>
  <c r="H31" i="5"/>
  <c r="I28" i="5"/>
  <c r="G28" i="5" s="1"/>
  <c r="J28" i="5" s="1"/>
  <c r="I27" i="5"/>
  <c r="I26" i="5"/>
  <c r="G26" i="5" s="1"/>
  <c r="J26" i="5" s="1"/>
  <c r="I24" i="5"/>
  <c r="G24" i="5"/>
  <c r="K24" i="5" s="1"/>
  <c r="K23" i="5"/>
  <c r="J23" i="5"/>
  <c r="I23" i="5"/>
  <c r="H23" i="5"/>
  <c r="K22" i="5"/>
  <c r="J22" i="5"/>
  <c r="I22" i="5"/>
  <c r="H22" i="5"/>
  <c r="G21" i="5"/>
  <c r="K21" i="5" s="1"/>
  <c r="I20" i="5"/>
  <c r="G20" i="5" s="1"/>
  <c r="J20" i="5" s="1"/>
  <c r="G19" i="5"/>
  <c r="J19" i="5" s="1"/>
  <c r="K18" i="5"/>
  <c r="J18" i="5"/>
  <c r="I18" i="5"/>
  <c r="H18" i="5"/>
  <c r="K17" i="5"/>
  <c r="J17" i="5"/>
  <c r="I17" i="5"/>
  <c r="I33" i="5" s="1"/>
  <c r="H17" i="5"/>
  <c r="G16" i="5"/>
  <c r="J16" i="5" s="1"/>
  <c r="G15" i="5"/>
  <c r="K15" i="5" s="1"/>
  <c r="G14" i="5"/>
  <c r="J14" i="5" s="1"/>
  <c r="I11" i="5"/>
  <c r="I10" i="5"/>
  <c r="G10" i="5"/>
  <c r="J10" i="5" s="1"/>
  <c r="I9" i="5"/>
  <c r="G9" i="5" s="1"/>
  <c r="G8" i="5"/>
  <c r="K8" i="5" s="1"/>
  <c r="G7" i="5"/>
  <c r="J7" i="5" s="1"/>
  <c r="G6" i="5"/>
  <c r="J6" i="5" s="1"/>
  <c r="I36" i="9"/>
  <c r="H36" i="9"/>
  <c r="K34" i="6"/>
  <c r="J34" i="6"/>
  <c r="I34" i="6"/>
  <c r="H34" i="6"/>
  <c r="G34" i="6"/>
  <c r="H34" i="7"/>
  <c r="G34" i="7"/>
  <c r="H35" i="11"/>
  <c r="G35" i="11"/>
  <c r="H34" i="10"/>
  <c r="G34" i="10"/>
  <c r="H34" i="8"/>
  <c r="G34" i="8"/>
  <c r="H34" i="3"/>
  <c r="I34" i="3"/>
  <c r="H18" i="7"/>
  <c r="G34" i="11"/>
  <c r="I32" i="11"/>
  <c r="H32" i="11"/>
  <c r="G33" i="10"/>
  <c r="I31" i="10"/>
  <c r="H31" i="10"/>
  <c r="G33" i="8"/>
  <c r="I31" i="8"/>
  <c r="H31" i="8"/>
  <c r="G33" i="3"/>
  <c r="I31" i="3"/>
  <c r="H31" i="3"/>
  <c r="G33" i="7"/>
  <c r="I31" i="7"/>
  <c r="H31" i="7"/>
  <c r="G35" i="9"/>
  <c r="I33" i="9"/>
  <c r="H33" i="9"/>
  <c r="H31" i="6"/>
  <c r="I31" i="6"/>
  <c r="G33" i="6"/>
  <c r="K33" i="5" l="1"/>
  <c r="K33" i="4"/>
  <c r="J8" i="5"/>
  <c r="J21" i="5"/>
  <c r="J31" i="5" s="1"/>
  <c r="J8" i="4"/>
  <c r="J21" i="4"/>
  <c r="E33" i="5"/>
  <c r="E33" i="4"/>
  <c r="H33" i="5"/>
  <c r="J33" i="5"/>
  <c r="J15" i="5"/>
  <c r="G31" i="5"/>
  <c r="H33" i="4"/>
  <c r="J33" i="4"/>
  <c r="J15" i="4"/>
  <c r="J31" i="4" s="1"/>
  <c r="G31" i="4"/>
  <c r="I32" i="4"/>
  <c r="K7" i="4"/>
  <c r="J9" i="4"/>
  <c r="K10" i="4"/>
  <c r="K14" i="4"/>
  <c r="K16" i="4"/>
  <c r="K20" i="4"/>
  <c r="J24" i="4"/>
  <c r="K26" i="4"/>
  <c r="K28" i="4"/>
  <c r="H29" i="4"/>
  <c r="H32" i="4"/>
  <c r="K6" i="4"/>
  <c r="K9" i="4"/>
  <c r="G11" i="4"/>
  <c r="K19" i="4"/>
  <c r="G27" i="4"/>
  <c r="I29" i="4"/>
  <c r="I32" i="5"/>
  <c r="K7" i="5"/>
  <c r="J9" i="5"/>
  <c r="K10" i="5"/>
  <c r="K14" i="5"/>
  <c r="K16" i="5"/>
  <c r="K20" i="5"/>
  <c r="J24" i="5"/>
  <c r="K26" i="5"/>
  <c r="K28" i="5"/>
  <c r="H29" i="5"/>
  <c r="H32" i="5"/>
  <c r="K6" i="5"/>
  <c r="K9" i="5"/>
  <c r="G11" i="5"/>
  <c r="K19" i="5"/>
  <c r="G27" i="5"/>
  <c r="I29" i="5"/>
  <c r="H26" i="9"/>
  <c r="G21" i="9"/>
  <c r="K21" i="9" s="1"/>
  <c r="G32" i="5" l="1"/>
  <c r="K31" i="5"/>
  <c r="G32" i="4"/>
  <c r="K31" i="4"/>
  <c r="K27" i="4"/>
  <c r="J27" i="4"/>
  <c r="K11" i="4"/>
  <c r="K32" i="4" s="1"/>
  <c r="J11" i="4"/>
  <c r="J32" i="4" s="1"/>
  <c r="G29" i="4"/>
  <c r="J29" i="4"/>
  <c r="K27" i="5"/>
  <c r="J27" i="5"/>
  <c r="K11" i="5"/>
  <c r="K32" i="5" s="1"/>
  <c r="J11" i="5"/>
  <c r="J32" i="5" s="1"/>
  <c r="G29" i="5"/>
  <c r="J29" i="5"/>
  <c r="I26" i="9"/>
  <c r="G26" i="9" s="1"/>
  <c r="J26" i="9" s="1"/>
  <c r="J21" i="9"/>
  <c r="K13" i="11"/>
  <c r="J13" i="11"/>
  <c r="I13" i="11"/>
  <c r="K12" i="11"/>
  <c r="J12" i="11"/>
  <c r="I12" i="11"/>
  <c r="K34" i="10"/>
  <c r="J34" i="10"/>
  <c r="I34" i="10"/>
  <c r="K34" i="8"/>
  <c r="J34" i="8"/>
  <c r="K13" i="7"/>
  <c r="J13" i="7"/>
  <c r="I13" i="7"/>
  <c r="K12" i="7"/>
  <c r="K34" i="7" s="1"/>
  <c r="J12" i="7"/>
  <c r="I12" i="7"/>
  <c r="I34" i="7" l="1"/>
  <c r="J34" i="7"/>
  <c r="K29" i="5"/>
  <c r="K29" i="4"/>
  <c r="K35" i="11"/>
  <c r="I34" i="8"/>
  <c r="I35" i="11"/>
  <c r="J35" i="11"/>
  <c r="K26" i="9"/>
  <c r="G13" i="3"/>
  <c r="K13" i="3" s="1"/>
  <c r="G12" i="3"/>
  <c r="G13" i="9"/>
  <c r="J13" i="9" s="1"/>
  <c r="G12" i="9"/>
  <c r="H24" i="11"/>
  <c r="H28" i="11"/>
  <c r="H26" i="11"/>
  <c r="H28" i="10"/>
  <c r="H27" i="10"/>
  <c r="H26" i="10"/>
  <c r="H20" i="10"/>
  <c r="H26" i="8"/>
  <c r="H32" i="8" s="1"/>
  <c r="H28" i="3"/>
  <c r="H26" i="3"/>
  <c r="H9" i="3"/>
  <c r="H24" i="7"/>
  <c r="H28" i="7"/>
  <c r="H26" i="7"/>
  <c r="H10" i="7"/>
  <c r="H28" i="6"/>
  <c r="H11" i="6"/>
  <c r="H27" i="6"/>
  <c r="H10" i="6"/>
  <c r="H20" i="6"/>
  <c r="H32" i="3" l="1"/>
  <c r="H32" i="10"/>
  <c r="H32" i="7"/>
  <c r="H33" i="11"/>
  <c r="J12" i="3"/>
  <c r="G34" i="3"/>
  <c r="J12" i="9"/>
  <c r="G36" i="9"/>
  <c r="J13" i="3"/>
  <c r="K13" i="9"/>
  <c r="K12" i="9"/>
  <c r="K12" i="3"/>
  <c r="H24" i="9"/>
  <c r="H28" i="9"/>
  <c r="H11" i="9"/>
  <c r="H10" i="9"/>
  <c r="H9" i="9"/>
  <c r="H26" i="6"/>
  <c r="H32" i="6" s="1"/>
  <c r="H27" i="9"/>
  <c r="H20" i="9"/>
  <c r="E34" i="4" l="1"/>
  <c r="E34" i="5"/>
  <c r="H34" i="9"/>
  <c r="K34" i="3"/>
  <c r="J34" i="3"/>
  <c r="K36" i="9"/>
  <c r="J36" i="9"/>
  <c r="H22" i="7"/>
  <c r="H17" i="10"/>
  <c r="K22" i="11"/>
  <c r="J22" i="11"/>
  <c r="I22" i="11"/>
  <c r="H22" i="11"/>
  <c r="I24" i="11"/>
  <c r="G24" i="11" s="1"/>
  <c r="I28" i="11"/>
  <c r="G28" i="11" s="1"/>
  <c r="I11" i="11"/>
  <c r="G11" i="11" s="1"/>
  <c r="I27" i="11"/>
  <c r="G27" i="11" s="1"/>
  <c r="I26" i="11"/>
  <c r="G26" i="11" s="1"/>
  <c r="I10" i="11"/>
  <c r="G10" i="11" s="1"/>
  <c r="I9" i="11"/>
  <c r="G8" i="11"/>
  <c r="G6" i="11"/>
  <c r="K6" i="11" s="1"/>
  <c r="K23" i="11"/>
  <c r="J23" i="11"/>
  <c r="I23" i="11"/>
  <c r="H23" i="11"/>
  <c r="K18" i="11"/>
  <c r="J18" i="11"/>
  <c r="I18" i="11"/>
  <c r="H18" i="11"/>
  <c r="K17" i="11"/>
  <c r="J17" i="11"/>
  <c r="I17" i="11"/>
  <c r="H17" i="11"/>
  <c r="I20" i="11"/>
  <c r="G7" i="11"/>
  <c r="J7" i="11" s="1"/>
  <c r="G14" i="11"/>
  <c r="K14" i="11" s="1"/>
  <c r="G21" i="11"/>
  <c r="J21" i="11" s="1"/>
  <c r="G16" i="11"/>
  <c r="K16" i="11" s="1"/>
  <c r="G15" i="11"/>
  <c r="J15" i="11" s="1"/>
  <c r="G19" i="11"/>
  <c r="J19" i="11" s="1"/>
  <c r="K22" i="10"/>
  <c r="J22" i="10"/>
  <c r="I22" i="10"/>
  <c r="H22" i="10"/>
  <c r="I24" i="10"/>
  <c r="G24" i="10" s="1"/>
  <c r="I28" i="10"/>
  <c r="G28" i="10" s="1"/>
  <c r="I11" i="10"/>
  <c r="G11" i="10" s="1"/>
  <c r="I27" i="10"/>
  <c r="G27" i="10" s="1"/>
  <c r="I26" i="10"/>
  <c r="G26" i="10" s="1"/>
  <c r="I10" i="10"/>
  <c r="G10" i="10" s="1"/>
  <c r="I9" i="10"/>
  <c r="G8" i="10"/>
  <c r="J8" i="10" s="1"/>
  <c r="G6" i="10"/>
  <c r="K23" i="10"/>
  <c r="J23" i="10"/>
  <c r="I23" i="10"/>
  <c r="H23" i="10"/>
  <c r="K18" i="10"/>
  <c r="J18" i="10"/>
  <c r="I18" i="10"/>
  <c r="H18" i="10"/>
  <c r="K17" i="10"/>
  <c r="K33" i="10" s="1"/>
  <c r="J17" i="10"/>
  <c r="J33" i="10" s="1"/>
  <c r="I17" i="10"/>
  <c r="I20" i="10"/>
  <c r="G7" i="10"/>
  <c r="J7" i="10" s="1"/>
  <c r="G14" i="10"/>
  <c r="K14" i="10" s="1"/>
  <c r="G21" i="10"/>
  <c r="J21" i="10" s="1"/>
  <c r="G16" i="10"/>
  <c r="K16" i="10" s="1"/>
  <c r="G15" i="10"/>
  <c r="J15" i="10" s="1"/>
  <c r="G19" i="10"/>
  <c r="G31" i="10" s="1"/>
  <c r="K22" i="8"/>
  <c r="J22" i="8"/>
  <c r="I22" i="8"/>
  <c r="H22" i="8"/>
  <c r="I24" i="8"/>
  <c r="G24" i="8" s="1"/>
  <c r="I28" i="8"/>
  <c r="G28" i="8" s="1"/>
  <c r="I11" i="8"/>
  <c r="G11" i="8" s="1"/>
  <c r="I27" i="8"/>
  <c r="G27" i="8" s="1"/>
  <c r="I26" i="8"/>
  <c r="G26" i="8" s="1"/>
  <c r="I10" i="8"/>
  <c r="G10" i="8" s="1"/>
  <c r="I9" i="8"/>
  <c r="G8" i="8"/>
  <c r="J8" i="8" s="1"/>
  <c r="G6" i="8"/>
  <c r="K23" i="8"/>
  <c r="J23" i="8"/>
  <c r="I23" i="8"/>
  <c r="H23" i="8"/>
  <c r="K18" i="8"/>
  <c r="J18" i="8"/>
  <c r="I18" i="8"/>
  <c r="H18" i="8"/>
  <c r="K17" i="8"/>
  <c r="K33" i="8" s="1"/>
  <c r="J17" i="8"/>
  <c r="J33" i="8" s="1"/>
  <c r="I17" i="8"/>
  <c r="I33" i="8" s="1"/>
  <c r="H17" i="8"/>
  <c r="I20" i="8"/>
  <c r="G7" i="8"/>
  <c r="J7" i="8" s="1"/>
  <c r="G14" i="8"/>
  <c r="K14" i="8" s="1"/>
  <c r="G21" i="8"/>
  <c r="J21" i="8" s="1"/>
  <c r="G16" i="8"/>
  <c r="K16" i="8" s="1"/>
  <c r="G15" i="8"/>
  <c r="J15" i="8" s="1"/>
  <c r="G19" i="8"/>
  <c r="G31" i="8" s="1"/>
  <c r="K22" i="3"/>
  <c r="J22" i="3"/>
  <c r="I22" i="3"/>
  <c r="H22" i="3"/>
  <c r="I24" i="3"/>
  <c r="G24" i="3" s="1"/>
  <c r="I28" i="3"/>
  <c r="G28" i="3" s="1"/>
  <c r="I11" i="3"/>
  <c r="G11" i="3" s="1"/>
  <c r="I27" i="3"/>
  <c r="G27" i="3" s="1"/>
  <c r="I26" i="3"/>
  <c r="G26" i="3" s="1"/>
  <c r="I10" i="3"/>
  <c r="G10" i="3" s="1"/>
  <c r="I9" i="3"/>
  <c r="G8" i="3"/>
  <c r="J8" i="3" s="1"/>
  <c r="G6" i="3"/>
  <c r="K23" i="3"/>
  <c r="J23" i="3"/>
  <c r="I23" i="3"/>
  <c r="H23" i="3"/>
  <c r="K18" i="3"/>
  <c r="J18" i="3"/>
  <c r="I18" i="3"/>
  <c r="H18" i="3"/>
  <c r="K17" i="3"/>
  <c r="K33" i="3" s="1"/>
  <c r="J17" i="3"/>
  <c r="I17" i="3"/>
  <c r="I33" i="3" s="1"/>
  <c r="H17" i="3"/>
  <c r="I20" i="3"/>
  <c r="G7" i="3"/>
  <c r="J7" i="3" s="1"/>
  <c r="G14" i="3"/>
  <c r="K14" i="3" s="1"/>
  <c r="G21" i="3"/>
  <c r="J21" i="3" s="1"/>
  <c r="G16" i="3"/>
  <c r="K16" i="3" s="1"/>
  <c r="G15" i="3"/>
  <c r="J15" i="3" s="1"/>
  <c r="G19" i="3"/>
  <c r="J19" i="3" s="1"/>
  <c r="K22" i="7"/>
  <c r="J22" i="7"/>
  <c r="I22" i="7"/>
  <c r="I24" i="7"/>
  <c r="G24" i="7" s="1"/>
  <c r="I28" i="7"/>
  <c r="G28" i="7" s="1"/>
  <c r="I11" i="7"/>
  <c r="G11" i="7" s="1"/>
  <c r="I27" i="7"/>
  <c r="G27" i="7" s="1"/>
  <c r="I26" i="7"/>
  <c r="G26" i="7" s="1"/>
  <c r="I10" i="7"/>
  <c r="G10" i="7" s="1"/>
  <c r="I9" i="7"/>
  <c r="G8" i="7"/>
  <c r="J8" i="7" s="1"/>
  <c r="G6" i="7"/>
  <c r="K23" i="7"/>
  <c r="J23" i="7"/>
  <c r="I23" i="7"/>
  <c r="H23" i="7"/>
  <c r="K18" i="7"/>
  <c r="J18" i="7"/>
  <c r="I18" i="7"/>
  <c r="K17" i="7"/>
  <c r="K33" i="7" s="1"/>
  <c r="J17" i="7"/>
  <c r="I17" i="7"/>
  <c r="H17" i="7"/>
  <c r="I20" i="7"/>
  <c r="G7" i="7"/>
  <c r="G14" i="7"/>
  <c r="K14" i="7" s="1"/>
  <c r="G21" i="7"/>
  <c r="J21" i="7" s="1"/>
  <c r="G16" i="7"/>
  <c r="K16" i="7" s="1"/>
  <c r="G15" i="7"/>
  <c r="J15" i="7" s="1"/>
  <c r="G19" i="7"/>
  <c r="I33" i="7" l="1"/>
  <c r="I33" i="10"/>
  <c r="I34" i="11"/>
  <c r="J34" i="11"/>
  <c r="K34" i="11"/>
  <c r="K6" i="7"/>
  <c r="I32" i="7"/>
  <c r="I29" i="7"/>
  <c r="K6" i="10"/>
  <c r="G9" i="10"/>
  <c r="I32" i="10"/>
  <c r="I29" i="10"/>
  <c r="H34" i="11"/>
  <c r="H29" i="11"/>
  <c r="G9" i="11"/>
  <c r="K9" i="11" s="1"/>
  <c r="I29" i="11"/>
  <c r="I33" i="11"/>
  <c r="J19" i="7"/>
  <c r="G31" i="7"/>
  <c r="H33" i="7"/>
  <c r="H29" i="7"/>
  <c r="J33" i="7"/>
  <c r="H29" i="8"/>
  <c r="H33" i="8"/>
  <c r="K6" i="8"/>
  <c r="G9" i="8"/>
  <c r="I32" i="8"/>
  <c r="I29" i="8"/>
  <c r="H29" i="10"/>
  <c r="H33" i="10"/>
  <c r="J8" i="11"/>
  <c r="G32" i="11"/>
  <c r="H29" i="3"/>
  <c r="H33" i="3"/>
  <c r="J33" i="3"/>
  <c r="K6" i="3"/>
  <c r="G31" i="3"/>
  <c r="G9" i="3"/>
  <c r="I32" i="3"/>
  <c r="I29" i="3"/>
  <c r="J7" i="7"/>
  <c r="G9" i="7"/>
  <c r="J14" i="11"/>
  <c r="J16" i="10"/>
  <c r="J14" i="7"/>
  <c r="J6" i="7"/>
  <c r="J14" i="3"/>
  <c r="J6" i="3"/>
  <c r="J16" i="8"/>
  <c r="J6" i="10"/>
  <c r="J6" i="11"/>
  <c r="J16" i="11"/>
  <c r="J14" i="10"/>
  <c r="J19" i="10"/>
  <c r="J6" i="8"/>
  <c r="J14" i="8"/>
  <c r="J19" i="8"/>
  <c r="J16" i="3"/>
  <c r="J16" i="7"/>
  <c r="J9" i="11"/>
  <c r="J26" i="11"/>
  <c r="K26" i="11"/>
  <c r="J11" i="11"/>
  <c r="K11" i="11"/>
  <c r="J24" i="11"/>
  <c r="K24" i="11"/>
  <c r="J10" i="11"/>
  <c r="K10" i="11"/>
  <c r="J27" i="11"/>
  <c r="K27" i="11"/>
  <c r="J28" i="11"/>
  <c r="K28" i="11"/>
  <c r="K15" i="11"/>
  <c r="K21" i="11"/>
  <c r="K7" i="11"/>
  <c r="K8" i="11"/>
  <c r="K19" i="11"/>
  <c r="G20" i="11"/>
  <c r="G29" i="11" s="1"/>
  <c r="J9" i="10"/>
  <c r="K9" i="10"/>
  <c r="J26" i="10"/>
  <c r="K26" i="10"/>
  <c r="J11" i="10"/>
  <c r="K11" i="10"/>
  <c r="J24" i="10"/>
  <c r="K24" i="10"/>
  <c r="J10" i="10"/>
  <c r="K10" i="10"/>
  <c r="J27" i="10"/>
  <c r="K27" i="10"/>
  <c r="J28" i="10"/>
  <c r="K28" i="10"/>
  <c r="K15" i="10"/>
  <c r="K21" i="10"/>
  <c r="K7" i="10"/>
  <c r="K8" i="10"/>
  <c r="K19" i="10"/>
  <c r="G20" i="10"/>
  <c r="J9" i="8"/>
  <c r="K9" i="8"/>
  <c r="J26" i="8"/>
  <c r="K26" i="8"/>
  <c r="J11" i="8"/>
  <c r="K11" i="8"/>
  <c r="J24" i="8"/>
  <c r="K24" i="8"/>
  <c r="J10" i="8"/>
  <c r="K10" i="8"/>
  <c r="J27" i="8"/>
  <c r="K27" i="8"/>
  <c r="J28" i="8"/>
  <c r="K28" i="8"/>
  <c r="K15" i="8"/>
  <c r="K21" i="8"/>
  <c r="K7" i="8"/>
  <c r="K8" i="8"/>
  <c r="K19" i="8"/>
  <c r="G20" i="8"/>
  <c r="G29" i="8" s="1"/>
  <c r="J9" i="3"/>
  <c r="J26" i="3"/>
  <c r="K26" i="3"/>
  <c r="J11" i="3"/>
  <c r="K11" i="3"/>
  <c r="J24" i="3"/>
  <c r="K24" i="3"/>
  <c r="J10" i="3"/>
  <c r="K10" i="3"/>
  <c r="J27" i="3"/>
  <c r="K27" i="3"/>
  <c r="J28" i="3"/>
  <c r="K28" i="3"/>
  <c r="K15" i="3"/>
  <c r="K21" i="3"/>
  <c r="K7" i="3"/>
  <c r="K8" i="3"/>
  <c r="K19" i="3"/>
  <c r="G20" i="3"/>
  <c r="J9" i="7"/>
  <c r="K9" i="7"/>
  <c r="J26" i="7"/>
  <c r="K26" i="7"/>
  <c r="J11" i="7"/>
  <c r="K11" i="7"/>
  <c r="J24" i="7"/>
  <c r="K24" i="7"/>
  <c r="J10" i="7"/>
  <c r="K10" i="7"/>
  <c r="J27" i="7"/>
  <c r="K27" i="7"/>
  <c r="J28" i="7"/>
  <c r="K28" i="7"/>
  <c r="K15" i="7"/>
  <c r="K21" i="7"/>
  <c r="K7" i="7"/>
  <c r="K8" i="7"/>
  <c r="K19" i="7"/>
  <c r="G20" i="7"/>
  <c r="H22" i="6"/>
  <c r="H17" i="6"/>
  <c r="H18" i="6"/>
  <c r="K22" i="6"/>
  <c r="J22" i="6"/>
  <c r="I22" i="6"/>
  <c r="I24" i="6"/>
  <c r="G24" i="6" s="1"/>
  <c r="I28" i="6"/>
  <c r="G28" i="6" s="1"/>
  <c r="I11" i="6"/>
  <c r="G11" i="6" s="1"/>
  <c r="K11" i="6" s="1"/>
  <c r="I27" i="6"/>
  <c r="G27" i="6" s="1"/>
  <c r="I26" i="6"/>
  <c r="I10" i="6"/>
  <c r="G10" i="6" s="1"/>
  <c r="K10" i="6" s="1"/>
  <c r="I9" i="6"/>
  <c r="G8" i="6"/>
  <c r="K8" i="6" s="1"/>
  <c r="G6" i="6"/>
  <c r="K23" i="6"/>
  <c r="J23" i="6"/>
  <c r="I23" i="6"/>
  <c r="H23" i="6"/>
  <c r="K18" i="6"/>
  <c r="J18" i="6"/>
  <c r="I18" i="6"/>
  <c r="K17" i="6"/>
  <c r="J17" i="6"/>
  <c r="I17" i="6"/>
  <c r="I20" i="6"/>
  <c r="G7" i="6"/>
  <c r="G14" i="6"/>
  <c r="K14" i="6" s="1"/>
  <c r="G21" i="6"/>
  <c r="K21" i="6" s="1"/>
  <c r="G16" i="6"/>
  <c r="J16" i="6" s="1"/>
  <c r="G15" i="6"/>
  <c r="K15" i="6" s="1"/>
  <c r="G19" i="6"/>
  <c r="K22" i="9"/>
  <c r="J22" i="9"/>
  <c r="I22" i="9"/>
  <c r="H22" i="9"/>
  <c r="I24" i="9"/>
  <c r="G24" i="9" s="1"/>
  <c r="I28" i="9"/>
  <c r="G28" i="9" s="1"/>
  <c r="I11" i="9"/>
  <c r="G11" i="9" s="1"/>
  <c r="I27" i="9"/>
  <c r="G27" i="9" s="1"/>
  <c r="G8" i="9"/>
  <c r="K8" i="9" s="1"/>
  <c r="G6" i="9"/>
  <c r="I10" i="9"/>
  <c r="G10" i="9" s="1"/>
  <c r="I9" i="9"/>
  <c r="G7" i="9"/>
  <c r="K7" i="9" s="1"/>
  <c r="G14" i="9"/>
  <c r="K14" i="9" s="1"/>
  <c r="K23" i="9"/>
  <c r="J23" i="9"/>
  <c r="I23" i="9"/>
  <c r="H23" i="9"/>
  <c r="K18" i="9"/>
  <c r="J18" i="9"/>
  <c r="I18" i="9"/>
  <c r="H18" i="9"/>
  <c r="G16" i="9"/>
  <c r="K16" i="9" s="1"/>
  <c r="G15" i="9"/>
  <c r="K15" i="9" s="1"/>
  <c r="I20" i="9"/>
  <c r="K17" i="9"/>
  <c r="J17" i="9"/>
  <c r="I17" i="9"/>
  <c r="H17" i="9"/>
  <c r="G19" i="9"/>
  <c r="G31" i="6" l="1"/>
  <c r="J33" i="6"/>
  <c r="K31" i="8"/>
  <c r="K31" i="10"/>
  <c r="J31" i="10"/>
  <c r="G29" i="7"/>
  <c r="G29" i="10"/>
  <c r="I35" i="9"/>
  <c r="I33" i="6"/>
  <c r="K33" i="6"/>
  <c r="I29" i="6"/>
  <c r="I32" i="6"/>
  <c r="K31" i="7"/>
  <c r="J31" i="8"/>
  <c r="G32" i="8"/>
  <c r="G33" i="11"/>
  <c r="H33" i="6"/>
  <c r="H29" i="6"/>
  <c r="J32" i="8"/>
  <c r="G32" i="7"/>
  <c r="G32" i="3"/>
  <c r="J31" i="7"/>
  <c r="G32" i="10"/>
  <c r="I34" i="9"/>
  <c r="I29" i="9"/>
  <c r="G9" i="9"/>
  <c r="J35" i="9"/>
  <c r="G33" i="9"/>
  <c r="K35" i="9"/>
  <c r="H35" i="9"/>
  <c r="H29" i="9"/>
  <c r="J32" i="11"/>
  <c r="K32" i="11"/>
  <c r="J31" i="3"/>
  <c r="K9" i="3"/>
  <c r="G29" i="3"/>
  <c r="K31" i="3"/>
  <c r="E35" i="11"/>
  <c r="E34" i="10"/>
  <c r="E34" i="8"/>
  <c r="E34" i="3"/>
  <c r="E34" i="7"/>
  <c r="K7" i="6"/>
  <c r="K27" i="6"/>
  <c r="G20" i="6"/>
  <c r="E34" i="6" s="1"/>
  <c r="K19" i="9"/>
  <c r="K16" i="6"/>
  <c r="J6" i="6"/>
  <c r="G26" i="6"/>
  <c r="G20" i="9"/>
  <c r="J20" i="9" s="1"/>
  <c r="K6" i="9"/>
  <c r="J20" i="11"/>
  <c r="J29" i="11" s="1"/>
  <c r="K20" i="11"/>
  <c r="K29" i="11" s="1"/>
  <c r="J20" i="10"/>
  <c r="J32" i="10" s="1"/>
  <c r="K20" i="10"/>
  <c r="K29" i="10" s="1"/>
  <c r="J20" i="8"/>
  <c r="J29" i="8" s="1"/>
  <c r="K20" i="8"/>
  <c r="K32" i="8" s="1"/>
  <c r="J20" i="3"/>
  <c r="J32" i="3" s="1"/>
  <c r="K20" i="3"/>
  <c r="J20" i="7"/>
  <c r="J32" i="7" s="1"/>
  <c r="K20" i="7"/>
  <c r="K32" i="7" s="1"/>
  <c r="G9" i="6"/>
  <c r="K6" i="6"/>
  <c r="J7" i="6"/>
  <c r="J15" i="6"/>
  <c r="K24" i="6"/>
  <c r="J24" i="6"/>
  <c r="K28" i="6"/>
  <c r="J28" i="6"/>
  <c r="J19" i="6"/>
  <c r="J14" i="6"/>
  <c r="K19" i="6"/>
  <c r="J21" i="6"/>
  <c r="J8" i="6"/>
  <c r="J10" i="6"/>
  <c r="J27" i="6"/>
  <c r="J11" i="6"/>
  <c r="K9" i="9"/>
  <c r="J9" i="9"/>
  <c r="K10" i="9"/>
  <c r="J10" i="9"/>
  <c r="J7" i="9"/>
  <c r="J16" i="9"/>
  <c r="K11" i="9"/>
  <c r="J11" i="9"/>
  <c r="K28" i="9"/>
  <c r="J28" i="9"/>
  <c r="K27" i="9"/>
  <c r="J27" i="9"/>
  <c r="K24" i="9"/>
  <c r="J24" i="9"/>
  <c r="J14" i="9"/>
  <c r="J15" i="9"/>
  <c r="J8" i="9"/>
  <c r="J6" i="9"/>
  <c r="J19" i="9"/>
  <c r="J29" i="7" l="1"/>
  <c r="J33" i="11"/>
  <c r="K32" i="3"/>
  <c r="K29" i="7"/>
  <c r="K32" i="10"/>
  <c r="K31" i="6"/>
  <c r="J31" i="6"/>
  <c r="K9" i="6"/>
  <c r="G32" i="6"/>
  <c r="K33" i="9"/>
  <c r="J29" i="10"/>
  <c r="K29" i="8"/>
  <c r="K33" i="11"/>
  <c r="G29" i="6"/>
  <c r="E31" i="5"/>
  <c r="E31" i="4"/>
  <c r="J33" i="9"/>
  <c r="G29" i="9"/>
  <c r="G34" i="9"/>
  <c r="J34" i="9"/>
  <c r="J29" i="9"/>
  <c r="K29" i="3"/>
  <c r="J29" i="3"/>
  <c r="E36" i="9"/>
  <c r="E33" i="6"/>
  <c r="J20" i="6"/>
  <c r="K20" i="6"/>
  <c r="E33" i="3"/>
  <c r="E33" i="10"/>
  <c r="E33" i="8"/>
  <c r="E33" i="7"/>
  <c r="E34" i="11"/>
  <c r="E31" i="8"/>
  <c r="K26" i="6"/>
  <c r="J26" i="6"/>
  <c r="K20" i="9"/>
  <c r="K34" i="9" s="1"/>
  <c r="J9" i="6"/>
  <c r="J32" i="6" l="1"/>
  <c r="J29" i="6"/>
  <c r="K32" i="6"/>
  <c r="K29" i="6"/>
  <c r="K29" i="9"/>
  <c r="E32" i="5"/>
  <c r="E32" i="4"/>
  <c r="E31" i="6"/>
  <c r="E31" i="7"/>
  <c r="E32" i="6"/>
  <c r="E35" i="9"/>
  <c r="E31" i="10"/>
  <c r="E31" i="3"/>
  <c r="E32" i="11"/>
  <c r="E32" i="3"/>
  <c r="E32" i="7"/>
  <c r="E32" i="8"/>
  <c r="E32" i="10"/>
  <c r="E33" i="11"/>
  <c r="E33" i="9" l="1"/>
  <c r="E34" i="9"/>
</calcChain>
</file>

<file path=xl/sharedStrings.xml><?xml version="1.0" encoding="utf-8"?>
<sst xmlns="http://schemas.openxmlformats.org/spreadsheetml/2006/main" count="2237" uniqueCount="220">
  <si>
    <t>Opatření SCLLD</t>
  </si>
  <si>
    <t>Identifikace programu</t>
  </si>
  <si>
    <t>Nezpů-sobilé výdaje</t>
  </si>
  <si>
    <t>Program</t>
  </si>
  <si>
    <t>Prioritní osa / Priorita unie</t>
  </si>
  <si>
    <t>Celkové způsobilé výdaje</t>
  </si>
  <si>
    <t>Celkem</t>
  </si>
  <si>
    <t>Investič. priorita/ Prioritní oblast</t>
  </si>
  <si>
    <t>Specif. cíl programu/ Opatření EZRV</t>
  </si>
  <si>
    <t>z toho dotace</t>
  </si>
  <si>
    <t>příspěvek Unie</t>
  </si>
  <si>
    <t>národní veřejné zdroje</t>
  </si>
  <si>
    <t>z toho vlastní zdroje příjemci</t>
  </si>
  <si>
    <t>veřejné zdroje</t>
  </si>
  <si>
    <t>soukromé zdroje</t>
  </si>
  <si>
    <t>IROP</t>
  </si>
  <si>
    <t>2.3.</t>
  </si>
  <si>
    <t>PRV</t>
  </si>
  <si>
    <t>Neproduktivní investice v lesích</t>
  </si>
  <si>
    <t>OPZ</t>
  </si>
  <si>
    <t>PO 2</t>
  </si>
  <si>
    <t>IP 3</t>
  </si>
  <si>
    <t>PO 4</t>
  </si>
  <si>
    <t>Specif. cíl SCLLD</t>
  </si>
  <si>
    <t>Kulturní dědictví</t>
  </si>
  <si>
    <t>Územní rozvoj</t>
  </si>
  <si>
    <t>OPŽP</t>
  </si>
  <si>
    <t>Plán financování (způsobilé výdaje v tis. Kč)</t>
  </si>
  <si>
    <t>Zemědělské podniky</t>
  </si>
  <si>
    <t>Zemědělské produkty</t>
  </si>
  <si>
    <t>Technika pro lesní hospodářství</t>
  </si>
  <si>
    <t>Krátké řetězce</t>
  </si>
  <si>
    <t>4.1.</t>
  </si>
  <si>
    <t>Prorodinná opatření</t>
  </si>
  <si>
    <t>Zemědělské vzdělávání</t>
  </si>
  <si>
    <t>Výsadby dřevin mimo les</t>
  </si>
  <si>
    <t>Zaměstnanost</t>
  </si>
  <si>
    <t>4.2.</t>
  </si>
  <si>
    <t>4.3.</t>
  </si>
  <si>
    <t>P 6</t>
  </si>
  <si>
    <t>IP 1</t>
  </si>
  <si>
    <t>Finanční plán 2018</t>
  </si>
  <si>
    <t>Finanční plán 2019</t>
  </si>
  <si>
    <t>Finanční plán 2020</t>
  </si>
  <si>
    <t>Finanční plán 2021</t>
  </si>
  <si>
    <t>Finanční plán 2022</t>
  </si>
  <si>
    <t>Finanční plán 2023</t>
  </si>
  <si>
    <t>Zavedení a podpora alternativních přístupů k výchově a vzdělání, rozmanitosti a přístupnosti vzdělávacích programů a institucí, učňovského školství a vzdělávání 3. věku</t>
  </si>
  <si>
    <t>Specifický cíl SCLLD</t>
  </si>
  <si>
    <t>Ekologická a bezpečná doprava</t>
  </si>
  <si>
    <t>Zlepšení životního prostředí sídel, realizace opatření ke snížení dopravní zátěže, znečišťování působením průmyslové a zemědělské výroby a dalších negativních vlivů</t>
  </si>
  <si>
    <t>Řešení krizových situací</t>
  </si>
  <si>
    <t>Likvidace invazních druhů rostlin</t>
  </si>
  <si>
    <t>Ochrana sídel a krajiny před povodněmi a dalšími krizovými situacemi</t>
  </si>
  <si>
    <t>Ochrana zemědělské a lesní půdy, přírodních porostů a prvků, vod, rostlin i živočichů v krajině</t>
  </si>
  <si>
    <t>Oprava, údržba a využití historicky i společensky významných míst, objektů a prvků</t>
  </si>
  <si>
    <t>Sociální služby a komunity - investice</t>
  </si>
  <si>
    <t>Zdravotnické služby - investice</t>
  </si>
  <si>
    <t>Sociální podnikání - investice</t>
  </si>
  <si>
    <t>Obnova tradičních sociálních vazeb v rodinných i obecních komunitách, posílení odpovědnosti obcí za znevýhodněné občany a odpovědnosti občanů za prosperitu obce</t>
  </si>
  <si>
    <t>Posílení stabilizace občanů dostatečnou nabídkou základních služeb a vytvářením různorodých pracovních míst s alternativními úvazky</t>
  </si>
  <si>
    <t>Spolupráce MAS</t>
  </si>
  <si>
    <t>Rozšíření aktivit spolupráce obcí, podnikatelů a neziskového sektoru k posílení ekonomické a sociální stability regionu</t>
  </si>
  <si>
    <t>Zvýšení místní výroby a odbytu průmyslových a zemědělských produktů</t>
  </si>
  <si>
    <t>IP 9d</t>
  </si>
  <si>
    <t>19.2.</t>
  </si>
  <si>
    <t>PO 6B</t>
  </si>
  <si>
    <t>19.3.</t>
  </si>
  <si>
    <t>Výchova a vzdělávání - investice</t>
  </si>
  <si>
    <t>Finanční plán 2016</t>
  </si>
  <si>
    <t>Finanční plán 2017</t>
  </si>
  <si>
    <t>Pozn.:  V případě navýšení alokace přidělené na realizaci SCLLD bude navýšena alokace na následující opatření OPZ: Zaměstnanost (o 1 mil. Kč), Prorodinná opatření (o 1 mil. Kč) a Sociální služby a komunity (o 800 tis. Kč).</t>
  </si>
  <si>
    <t>Infrastruktura v lesích</t>
  </si>
  <si>
    <t>Sociální služby a komunity - neinvestice</t>
  </si>
  <si>
    <t>Sociální podnikání - neinvestice</t>
  </si>
  <si>
    <t>Nezemědělské podnikání</t>
  </si>
  <si>
    <t>PR IROP</t>
  </si>
  <si>
    <t>PR ZAM</t>
  </si>
  <si>
    <t>PR PRV</t>
  </si>
  <si>
    <t>PR ŽP</t>
  </si>
  <si>
    <t>Pozn.:  V případě navýšení alokace přidělené na realizaci SCLLD bude navýšena alokace na opatření OPZ o 2,8 mil. Kč.</t>
  </si>
  <si>
    <t>Indikátory SCLLD MAS Sdružení SPLAV</t>
  </si>
  <si>
    <t>Identifikace indikátorů</t>
  </si>
  <si>
    <t>Hodnoty indikátorů</t>
  </si>
  <si>
    <t>Odůvodnění, jakým způsobem byly stanoveny</t>
  </si>
  <si>
    <t>Kód NČI 2014+</t>
  </si>
  <si>
    <t>Název indikátoru</t>
  </si>
  <si>
    <t>Měrná jednotka</t>
  </si>
  <si>
    <t>Typ indikátoru (výstup/ výsledek)</t>
  </si>
  <si>
    <t>Výchozí hodnota</t>
  </si>
  <si>
    <t>Datum výchozí hodnoty</t>
  </si>
  <si>
    <t>Cílová hodnota</t>
  </si>
  <si>
    <t>Datum cílové hodnoty</t>
  </si>
  <si>
    <t>7 51 20</t>
  </si>
  <si>
    <t>Podíl veřejné osobní dopravy na celkových výkonech v osobní dopravě</t>
  </si>
  <si>
    <t>%</t>
  </si>
  <si>
    <t>výsledek</t>
  </si>
  <si>
    <t>převzetí celostátních hodnot z MI pro IROP</t>
  </si>
  <si>
    <t>7 50 01</t>
  </si>
  <si>
    <t>Počet realizací vedoucí ke zvýšení bezpečnosti v dopravě</t>
  </si>
  <si>
    <t>realizace</t>
  </si>
  <si>
    <t>výstup</t>
  </si>
  <si>
    <t>zásobník projektů, výstupy z jednání prac. skupin MAS</t>
  </si>
  <si>
    <t xml:space="preserve">7 63 10 </t>
  </si>
  <si>
    <t>Podíl cyklistiky na přepravních výkonech</t>
  </si>
  <si>
    <t>7 61 00</t>
  </si>
  <si>
    <t>Délka nově vybudovaných cyklostezek a cyklotras</t>
  </si>
  <si>
    <t>km</t>
  </si>
  <si>
    <t>zásobník projektů, výstupy z jednání pracovních skupin MAS</t>
  </si>
  <si>
    <t>7 62 00</t>
  </si>
  <si>
    <t>Délka rekonstruovaných cyklostezek a cyklotras</t>
  </si>
  <si>
    <t>5 75 20</t>
  </si>
  <si>
    <t>Počet exponovaných území s nedostatečnou připraveností složek IZS</t>
  </si>
  <si>
    <t>území</t>
  </si>
  <si>
    <t>5 70 01</t>
  </si>
  <si>
    <t>Počet nové techniky a věcných prostředků složek IZS</t>
  </si>
  <si>
    <t>sety</t>
  </si>
  <si>
    <t>jednání s představiteli obcí s JPO II. a III.</t>
  </si>
  <si>
    <t>5 75 01</t>
  </si>
  <si>
    <t>Počet nových a modernizovaných objektů sloužících složkám IZS</t>
  </si>
  <si>
    <t>objekty</t>
  </si>
  <si>
    <t>9 02 10</t>
  </si>
  <si>
    <t>Plocha pokrytá ÚP, regulačním plánem a územní studií</t>
  </si>
  <si>
    <t>km2</t>
  </si>
  <si>
    <t>vyjádření MěÚ RK, odb. výstavby a ŽP</t>
  </si>
  <si>
    <t>9 02 00</t>
  </si>
  <si>
    <t>Počet územních plánů, regulačních plánů a územních studií</t>
  </si>
  <si>
    <t>dokumenty</t>
  </si>
  <si>
    <t>Celková délka lesních cest</t>
  </si>
  <si>
    <t>vyjádření ÚHÚL, pobočka HK</t>
  </si>
  <si>
    <t>Počet podpořených podniků/příjemců</t>
  </si>
  <si>
    <t>příjemci</t>
  </si>
  <si>
    <t>Počet podpořených operací (akcí)</t>
  </si>
  <si>
    <t>akce</t>
  </si>
  <si>
    <t xml:space="preserve">Celková plocha </t>
  </si>
  <si>
    <t>ha</t>
  </si>
  <si>
    <t>Pracovní místa vytvořená v rámci podpořených projektů (Leader)</t>
  </si>
  <si>
    <t>prac. místa</t>
  </si>
  <si>
    <t>Počet lokalit se zvýšenou biodiverzitou</t>
  </si>
  <si>
    <t>lokalita</t>
  </si>
  <si>
    <t>hodnoty stanovilo MŽP</t>
  </si>
  <si>
    <t>Plocha území, kde byla provedena opatření proti nepůvodním druhům</t>
  </si>
  <si>
    <t>Počet opatření k omezování nepůvodních druhů</t>
  </si>
  <si>
    <t>opatření</t>
  </si>
  <si>
    <t>Počet lokalit, kde byly posíleny ekologické funkce krajiny</t>
  </si>
  <si>
    <t>Plocha stanovišť, které jsou podporovány s cílem zlepšit jejich stav zachování</t>
  </si>
  <si>
    <t>9 10 10</t>
  </si>
  <si>
    <t>Počet návštěv kulturních památek a paměťových institucí zpřístupněných za vstupné</t>
  </si>
  <si>
    <t>návštěvy/rok</t>
  </si>
  <si>
    <t>9 05 01</t>
  </si>
  <si>
    <t>Počet revitalizovaných památkových objektů</t>
  </si>
  <si>
    <t>6 75 10</t>
  </si>
  <si>
    <t xml:space="preserve">Kapacita služeb a sociální práce </t>
  </si>
  <si>
    <t>klienti</t>
  </si>
  <si>
    <t>ČSÚ (výchozí), zásobník projektů (cílové)</t>
  </si>
  <si>
    <t>5 54 01</t>
  </si>
  <si>
    <t>Počet podpořených zázemí pro služby a sociální práci</t>
  </si>
  <si>
    <t>zázemí</t>
  </si>
  <si>
    <t>5 51 01</t>
  </si>
  <si>
    <t>Počet podpořených polyfunkčních a komunitních center</t>
  </si>
  <si>
    <t>zařízení</t>
  </si>
  <si>
    <t>5 53 10</t>
  </si>
  <si>
    <t>Nárůst kapacity sociálních bytů</t>
  </si>
  <si>
    <t>osoba/rok</t>
  </si>
  <si>
    <t>5 53 01</t>
  </si>
  <si>
    <t xml:space="preserve">Počet podpořených bytů pro sociální bydlení </t>
  </si>
  <si>
    <t>bytové jednotky</t>
  </si>
  <si>
    <t>5 73 10</t>
  </si>
  <si>
    <t>Kapacity poskytovatelů psych. péče vytvořené nebo modernizované v souvislosti s reformou psychiatrické péče</t>
  </si>
  <si>
    <t>osoby/den</t>
  </si>
  <si>
    <t>5 78 01</t>
  </si>
  <si>
    <t>Počet podpořených mobilních týmů</t>
  </si>
  <si>
    <t>poskytovatelé</t>
  </si>
  <si>
    <t>Počet osob využívajících zařízení péče o děti předškolního věku</t>
  </si>
  <si>
    <t>osoby</t>
  </si>
  <si>
    <t>Kapacita podpořených zařízení péče o děti nebo vzdělávacích zařízení</t>
  </si>
  <si>
    <t>Počet podpořených zařízení péče o děti předškolního věku</t>
  </si>
  <si>
    <t>Využívání podpořených služeb</t>
  </si>
  <si>
    <t>zásobník projektů, jednání na MěÚ RK, odb. soc. věcí</t>
  </si>
  <si>
    <t>Celkový počet účastníků</t>
  </si>
  <si>
    <t>účastníci</t>
  </si>
  <si>
    <t xml:space="preserve">Kapacita podpořených služeb </t>
  </si>
  <si>
    <t>místa</t>
  </si>
  <si>
    <t>5 00 20</t>
  </si>
  <si>
    <t>Podíl tříletých dětí umístěných v předškolním zařízení</t>
  </si>
  <si>
    <t>5 01 20</t>
  </si>
  <si>
    <t>Počet osob využívající zařízení péče o děti do 3 let</t>
  </si>
  <si>
    <t>5 00 00</t>
  </si>
  <si>
    <t>Počet podpořených vzdělávacích zařízení</t>
  </si>
  <si>
    <t>5 00 01</t>
  </si>
  <si>
    <t>Kapacita podporovaných zařízení péče o děti nebo vzdělávacích zařízení</t>
  </si>
  <si>
    <t>5 00 30</t>
  </si>
  <si>
    <t>Podíl osob předčasně opouštějících vzdělávací systém</t>
  </si>
  <si>
    <t>T3</t>
  </si>
  <si>
    <t>Celkový počet vyškolených účastníků podle čl. 14 nařízení EU č. 1305/2013 (Vzděl. akce)</t>
  </si>
  <si>
    <t>Počet účastníků vzdělávání</t>
  </si>
  <si>
    <t>1 04 11</t>
  </si>
  <si>
    <t xml:space="preserve">Míra nezaměstnanosti osob s nejnižším vzděláním </t>
  </si>
  <si>
    <t>1 00 00</t>
  </si>
  <si>
    <t>Počet podniků pobírajících podporu</t>
  </si>
  <si>
    <t>podniky</t>
  </si>
  <si>
    <t>Účastníci, kteří získali kvalifikaci po ukončení své účasti</t>
  </si>
  <si>
    <t>jednání na ÚP RK, zkušenosti MAS z dřívějších projektů</t>
  </si>
  <si>
    <t>Účastníci zaměstnání po ukončení své účasti vč. OSVČ</t>
  </si>
  <si>
    <t>Znevýhodnění účastníci, kteří po ukončení své účasti hledají zaměstnání, jsou v procesu vzdělávání/odborné přípravy, rozšiřují si kvalifikaci nebo jsou zaměstnaní, a to i OSVČ</t>
  </si>
  <si>
    <t>Účastníci zaměstnání 6 měsíců po ukončení své účasti vč. OSVČ</t>
  </si>
  <si>
    <t>Účastníci ve věku nad 54 let zaměstnaní 6 měsíců po ukončení své účasti vč. OSVČ</t>
  </si>
  <si>
    <t>Znevýhodnění účastníci zaměstnání 6 měsíců po ukončení své účasti vč. OSVČ</t>
  </si>
  <si>
    <t>0?</t>
  </si>
  <si>
    <t>Počet sociálních podniků vzniklých díky podpoře</t>
  </si>
  <si>
    <t>organizace</t>
  </si>
  <si>
    <t xml:space="preserve">Počet podpořených již existujících sociálních podniků </t>
  </si>
  <si>
    <t>Rozšíření aktivit spolupráce obcí, podnikatelů a neziskového sektoru k posílení ekon. a soc. stability regionu</t>
  </si>
  <si>
    <t>Počet podpořených kooperačních činností</t>
  </si>
  <si>
    <t>činnosti</t>
  </si>
  <si>
    <t>Celkové veřejné výdaje</t>
  </si>
  <si>
    <t>Euro</t>
  </si>
  <si>
    <t>dle přidělené dotace MAS</t>
  </si>
  <si>
    <t>Finanční plán SCLLD MAS Sdružení SPLAV 2016-2023 podle OP</t>
  </si>
  <si>
    <t>Finanční plán SCLLD MAS Sdružení SPLAV 2016-2023 podle SCLLD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</si>
</sst>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/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4" fontId="0" fillId="0" borderId="0" xfId="0" applyNumberFormat="1"/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9" fontId="0" fillId="0" borderId="0" xfId="0" applyNumberFormat="1"/>
    <xf numFmtId="16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justify" vertical="center" wrapText="1"/>
    </xf>
    <xf numFmtId="3" fontId="1" fillId="0" borderId="5" xfId="0" applyNumberFormat="1" applyFont="1" applyBorder="1" applyAlignment="1">
      <alignment horizontal="justify" vertical="center" wrapText="1"/>
    </xf>
    <xf numFmtId="3" fontId="1" fillId="0" borderId="5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selection activeCell="P12" sqref="P12"/>
    </sheetView>
  </sheetViews>
  <sheetFormatPr defaultRowHeight="15" x14ac:dyDescent="0.25"/>
  <cols>
    <col min="1" max="1" width="27.140625" customWidth="1"/>
    <col min="2" max="2" width="15.140625" customWidth="1"/>
    <col min="3" max="3" width="7.140625" customWidth="1"/>
    <col min="4" max="4" width="8.140625" customWidth="1"/>
    <col min="5" max="5" width="7.7109375" customWidth="1"/>
    <col min="6" max="6" width="8.28515625" customWidth="1"/>
    <col min="7" max="7" width="8.42578125" customWidth="1"/>
    <col min="8" max="8" width="7.7109375" customWidth="1"/>
    <col min="9" max="9" width="7.28515625" customWidth="1"/>
    <col min="10" max="10" width="7.140625" customWidth="1"/>
    <col min="11" max="11" width="7.7109375" customWidth="1"/>
    <col min="12" max="12" width="6.5703125" customWidth="1"/>
    <col min="14" max="14" width="10.85546875" bestFit="1" customWidth="1"/>
  </cols>
  <sheetData>
    <row r="1" spans="1:15" x14ac:dyDescent="0.25">
      <c r="A1" s="5" t="s">
        <v>219</v>
      </c>
    </row>
    <row r="2" spans="1:15" ht="11.25" customHeight="1" thickBot="1" x14ac:dyDescent="0.3"/>
    <row r="3" spans="1:15" ht="15.75" customHeight="1" thickBot="1" x14ac:dyDescent="0.3">
      <c r="A3" s="59" t="s">
        <v>48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7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9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12631.57894736842</v>
      </c>
      <c r="H6" s="16">
        <v>12000</v>
      </c>
      <c r="I6" s="16">
        <v>0</v>
      </c>
      <c r="J6" s="16">
        <f>G6*0.05*1</f>
        <v>631.57894736842104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8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3811.5789473684208</v>
      </c>
      <c r="H7" s="16">
        <v>3621</v>
      </c>
      <c r="I7" s="16">
        <v>0</v>
      </c>
      <c r="J7" s="16">
        <f>G7*0.05*1</f>
        <v>190.57894736842104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1578.9473684210525</v>
      </c>
      <c r="H8" s="16">
        <v>1500</v>
      </c>
      <c r="I8" s="16">
        <v>0</v>
      </c>
      <c r="J8" s="16">
        <f>G8*0.05*1</f>
        <v>78.94736842105263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687.5</v>
      </c>
      <c r="H9" s="16">
        <f>550*0.75</f>
        <v>412.5</v>
      </c>
      <c r="I9" s="16">
        <f>H9/3</f>
        <v>137.5</v>
      </c>
      <c r="J9" s="16">
        <f>G9*0.2*0.8</f>
        <v>110</v>
      </c>
      <c r="K9" s="16">
        <f>G9*0.2*0.2</f>
        <v>27.5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1450</v>
      </c>
      <c r="H10" s="16">
        <f>1450*0.75</f>
        <v>1087.5</v>
      </c>
      <c r="I10" s="16">
        <f t="shared" ref="I10" si="0">H10/3</f>
        <v>362.5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900</v>
      </c>
      <c r="H11" s="16">
        <f>450*0.75</f>
        <v>337.5</v>
      </c>
      <c r="I11" s="16">
        <f>H11/3</f>
        <v>112.5</v>
      </c>
      <c r="J11" s="16">
        <f>G11*0.5*0.6</f>
        <v>270</v>
      </c>
      <c r="K11" s="16">
        <f>G11*0.5*0.4</f>
        <v>180</v>
      </c>
      <c r="L11" s="16">
        <v>0</v>
      </c>
      <c r="O11" s="6"/>
    </row>
    <row r="12" spans="1:15" ht="33.75" customHeight="1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f>(H12+I12)/85*100</f>
        <v>1176.4705882352941</v>
      </c>
      <c r="H12" s="16">
        <v>1000</v>
      </c>
      <c r="I12" s="16">
        <v>0</v>
      </c>
      <c r="J12" s="16">
        <f>G12*0.09</f>
        <v>105.88235294117646</v>
      </c>
      <c r="K12" s="16">
        <f>G12*0.06</f>
        <v>70.588235294117652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f>(H13+I13)/85*100</f>
        <v>1176.4705882352941</v>
      </c>
      <c r="H13" s="16">
        <v>1000</v>
      </c>
      <c r="I13" s="16">
        <v>0</v>
      </c>
      <c r="J13" s="16">
        <f>G13*0.09</f>
        <v>105.88235294117646</v>
      </c>
      <c r="K13" s="16">
        <f>G13*0.06</f>
        <v>70.588235294117652</v>
      </c>
      <c r="L13" s="16">
        <v>0</v>
      </c>
      <c r="O13" s="6"/>
    </row>
    <row r="14" spans="1:15" ht="34.5" thickBot="1" x14ac:dyDescent="0.3">
      <c r="A14" s="11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 t="shared" ref="G14" si="1">H14/95*100</f>
        <v>1052.6315789473686</v>
      </c>
      <c r="H14" s="16">
        <v>1000</v>
      </c>
      <c r="I14" s="16">
        <v>0</v>
      </c>
      <c r="J14" s="16">
        <f>G14*0.05*0</f>
        <v>0</v>
      </c>
      <c r="K14" s="16">
        <f>G14*0.05*1</f>
        <v>52.631578947368432</v>
      </c>
      <c r="L14" s="16">
        <v>0</v>
      </c>
      <c r="O14" s="6"/>
    </row>
    <row r="15" spans="1:15" ht="35.2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16315.789473684212</v>
      </c>
      <c r="H15" s="16">
        <v>15500</v>
      </c>
      <c r="I15" s="16">
        <v>0</v>
      </c>
      <c r="J15" s="16">
        <f>G15*0.05*1</f>
        <v>815.78947368421063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 t="shared" ref="G16" si="2">H16/95*100</f>
        <v>1052.6315789473686</v>
      </c>
      <c r="H16" s="16">
        <v>1000</v>
      </c>
      <c r="I16" s="16">
        <v>0</v>
      </c>
      <c r="J16" s="16">
        <f>G16*0.05*0.5</f>
        <v>26.315789473684216</v>
      </c>
      <c r="K16" s="16">
        <f>G16*0.05*0.5</f>
        <v>26.315789473684216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1800</v>
      </c>
      <c r="H17" s="16">
        <f>G17*0.85</f>
        <v>1530</v>
      </c>
      <c r="I17" s="16">
        <f>G17*0.12</f>
        <v>216</v>
      </c>
      <c r="J17" s="16">
        <f>G17*0.03*0.5</f>
        <v>27</v>
      </c>
      <c r="K17" s="16">
        <f>G17*0.03*0.5</f>
        <v>27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6260</v>
      </c>
      <c r="H18" s="16">
        <f>G18*0.85</f>
        <v>5321</v>
      </c>
      <c r="I18" s="16">
        <f>G18*0.11</f>
        <v>688.6</v>
      </c>
      <c r="J18" s="16">
        <f>G18*0.04*0.5</f>
        <v>125.2</v>
      </c>
      <c r="K18" s="16">
        <f>G18*0.04*0.5</f>
        <v>125.2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11578.947368421052</v>
      </c>
      <c r="H19" s="16">
        <v>11000</v>
      </c>
      <c r="I19" s="16">
        <v>0</v>
      </c>
      <c r="J19" s="16">
        <f>G19*0.05*0.8</f>
        <v>463.15789473684208</v>
      </c>
      <c r="K19" s="16">
        <f>G19*0.05*0.2</f>
        <v>115.78947368421052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294.11764705882354</v>
      </c>
      <c r="H20" s="16">
        <f>250*0.75</f>
        <v>187.5</v>
      </c>
      <c r="I20" s="16">
        <f>H20/3</f>
        <v>62.5</v>
      </c>
      <c r="J20" s="16">
        <f>G20*0.15*0</f>
        <v>0</v>
      </c>
      <c r="K20" s="16">
        <f>G20*0.15*1</f>
        <v>44.117647058823529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 t="shared" ref="G21" si="3">H21/95*100</f>
        <v>2105.2631578947371</v>
      </c>
      <c r="H21" s="16">
        <v>2000</v>
      </c>
      <c r="I21" s="16">
        <v>0</v>
      </c>
      <c r="J21" s="16">
        <f>G21*0.05*0</f>
        <v>0</v>
      </c>
      <c r="K21" s="16">
        <f>G21*0.05*1</f>
        <v>105.26315789473686</v>
      </c>
      <c r="L21" s="16">
        <v>0</v>
      </c>
      <c r="O21" s="6"/>
    </row>
    <row r="22" spans="1:15" ht="15.75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3340</v>
      </c>
      <c r="H22" s="16">
        <f>G22*0.85</f>
        <v>2839</v>
      </c>
      <c r="I22" s="16">
        <f>G22*0.03</f>
        <v>100.2</v>
      </c>
      <c r="J22" s="16">
        <f>G22*0.12*0.5</f>
        <v>200.4</v>
      </c>
      <c r="K22" s="16">
        <f>G22*0.12*0.5</f>
        <v>200.4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1000</v>
      </c>
      <c r="H23" s="16">
        <f>G23*0.85</f>
        <v>850</v>
      </c>
      <c r="I23" s="16">
        <f>G23*0.05</f>
        <v>50</v>
      </c>
      <c r="J23" s="16">
        <f>G23*0.15*0</f>
        <v>0</v>
      </c>
      <c r="K23" s="16">
        <f>G23*0.1*1</f>
        <v>100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500</v>
      </c>
      <c r="H24" s="16">
        <f>250*0.75</f>
        <v>187.5</v>
      </c>
      <c r="I24" s="16">
        <f>H24/3</f>
        <v>62.5</v>
      </c>
      <c r="J24" s="16">
        <f>G24*0.5*0</f>
        <v>0</v>
      </c>
      <c r="K24" s="16">
        <f>G24*0.5*1</f>
        <v>250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f>(H25+I25)/80*100</f>
        <v>1875</v>
      </c>
      <c r="H25" s="16">
        <f>1500*0.75</f>
        <v>1125</v>
      </c>
      <c r="I25" s="16">
        <f t="shared" ref="I25:I28" si="4">H25/3</f>
        <v>375</v>
      </c>
      <c r="J25" s="16">
        <f>G25*0.2*0</f>
        <v>0</v>
      </c>
      <c r="K25" s="16">
        <f>G25*0.2*1</f>
        <v>375</v>
      </c>
      <c r="L25" s="16">
        <v>0</v>
      </c>
      <c r="N25" s="22">
        <f>1500000/27.04</f>
        <v>55473.372781065089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29166.666666666668</v>
      </c>
      <c r="H26" s="16">
        <f>14000*0.75</f>
        <v>10500</v>
      </c>
      <c r="I26" s="16">
        <f t="shared" si="4"/>
        <v>3500</v>
      </c>
      <c r="J26" s="16">
        <f>G26*0.52*0</f>
        <v>0</v>
      </c>
      <c r="K26" s="16">
        <f>G26*0.52*1</f>
        <v>15166.666666666668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7500</v>
      </c>
      <c r="H27" s="16">
        <f>3000*0.75</f>
        <v>2250</v>
      </c>
      <c r="I27" s="16">
        <f t="shared" si="4"/>
        <v>750</v>
      </c>
      <c r="J27" s="16">
        <f t="shared" ref="J27" si="5">G27*0.55*0</f>
        <v>0</v>
      </c>
      <c r="K27" s="16">
        <f>G27*0.6*1</f>
        <v>4500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14627.5</v>
      </c>
      <c r="H28" s="16">
        <f>5851*0.75</f>
        <v>4388.25</v>
      </c>
      <c r="I28" s="16">
        <f t="shared" si="4"/>
        <v>1462.75</v>
      </c>
      <c r="J28" s="16">
        <f>G28*0.6*0</f>
        <v>0</v>
      </c>
      <c r="K28" s="16">
        <f>G28*0.6*1</f>
        <v>8776.5</v>
      </c>
      <c r="L28" s="16">
        <v>0</v>
      </c>
      <c r="O28" s="6"/>
    </row>
    <row r="29" spans="1:15" ht="23.25" customHeight="1" thickBot="1" x14ac:dyDescent="0.3">
      <c r="A29" s="17" t="s">
        <v>6</v>
      </c>
      <c r="B29" s="1"/>
      <c r="C29" s="1"/>
      <c r="D29" s="1"/>
      <c r="E29" s="1"/>
      <c r="F29" s="1"/>
      <c r="G29" s="16">
        <f>SUM(G6:G28)</f>
        <v>121881.09391124871</v>
      </c>
      <c r="H29" s="16">
        <f>SUM(H6:H28)</f>
        <v>80636.75</v>
      </c>
      <c r="I29" s="16">
        <f>SUM(I6:I28)</f>
        <v>7880.05</v>
      </c>
      <c r="J29" s="16">
        <f>SUM(J6:J28)</f>
        <v>3150.7331269349843</v>
      </c>
      <c r="K29" s="16">
        <f>SUM(K6:K28)</f>
        <v>30213.560784313726</v>
      </c>
      <c r="L29" s="16">
        <v>0</v>
      </c>
      <c r="O29" s="6"/>
    </row>
    <row r="30" spans="1:15" ht="11.25" customHeight="1" x14ac:dyDescent="0.25">
      <c r="A30" s="20"/>
      <c r="B30" s="3"/>
      <c r="C30" s="3"/>
      <c r="D30" s="3"/>
      <c r="E30" s="3"/>
      <c r="F30" s="3"/>
      <c r="G30" s="21"/>
      <c r="H30" s="21"/>
      <c r="I30" s="21"/>
      <c r="J30" s="21"/>
      <c r="K30" s="21"/>
      <c r="L30" s="21"/>
      <c r="O30" s="6"/>
    </row>
    <row r="31" spans="1:15" ht="26.25" customHeight="1" x14ac:dyDescent="0.25">
      <c r="A31" s="58" t="s">
        <v>71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5" ht="12.75" customHeight="1" x14ac:dyDescent="0.25">
      <c r="A32" s="4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3:11" x14ac:dyDescent="0.25">
      <c r="C33" s="8" t="s">
        <v>15</v>
      </c>
      <c r="E33" s="9">
        <f>'2018'!E31+'2019'!E31+'2020'!E31+'2021'!E31+'2022'!E31+'2023'!E32</f>
        <v>100</v>
      </c>
      <c r="G33" s="6">
        <f>SUM(G6:G8)+SUM(G14:G16)+G19+G21</f>
        <v>50127.368421052633</v>
      </c>
      <c r="H33" s="6">
        <f>SUM(H6:H8)+SUM(H14:H16)+H19+H21</f>
        <v>47621</v>
      </c>
      <c r="I33" s="6">
        <f>SUM(I6:I8)+SUM(I14:I16)+I19+I21</f>
        <v>0</v>
      </c>
      <c r="J33" s="6">
        <f>SUM(J6:J8)+SUM(J14:J16)+J19+J21</f>
        <v>2206.3684210526317</v>
      </c>
      <c r="K33" s="6">
        <f>SUM(K6:K8)+SUM(K14:K16)+K19+K21</f>
        <v>300.00000000000006</v>
      </c>
    </row>
    <row r="34" spans="3:11" x14ac:dyDescent="0.25">
      <c r="C34" s="8" t="s">
        <v>17</v>
      </c>
      <c r="E34" s="9">
        <f>'2018'!E32+'2019'!E32+'2020'!E32+'2021'!E32+'2022'!E32+'2023'!E33</f>
        <v>100</v>
      </c>
      <c r="G34" s="6">
        <f>G9+G10+G11+G20+SUM(G24:G28)</f>
        <v>57000.784313725497</v>
      </c>
      <c r="H34" s="6">
        <f>H9+H10+H11+H20+SUM(H24:H28)</f>
        <v>20475.75</v>
      </c>
      <c r="I34" s="6">
        <f>I9+I10+I11+I20+SUM(I24:I28)</f>
        <v>6825.25</v>
      </c>
      <c r="J34" s="6">
        <f>J9+J10+J11+J20+SUM(J24:J28)</f>
        <v>380</v>
      </c>
      <c r="K34" s="6">
        <f>K9+K10+K11+K20+SUM(K24:K28)</f>
        <v>29319.784313725493</v>
      </c>
    </row>
    <row r="35" spans="3:11" x14ac:dyDescent="0.25">
      <c r="C35" s="8" t="s">
        <v>19</v>
      </c>
      <c r="E35" s="9">
        <f>'2018'!E33+'2019'!E33+'2020'!E33+'2021'!E33+'2022'!E33+'2023'!E34</f>
        <v>100</v>
      </c>
      <c r="G35" s="6">
        <f>G17+G18++G22+G23</f>
        <v>12400</v>
      </c>
      <c r="H35" s="6">
        <f t="shared" ref="H35:K35" si="6">H17+H18++H22+H23</f>
        <v>10540</v>
      </c>
      <c r="I35" s="6">
        <f t="shared" si="6"/>
        <v>1054.8000000000002</v>
      </c>
      <c r="J35" s="6">
        <f t="shared" si="6"/>
        <v>352.6</v>
      </c>
      <c r="K35" s="6">
        <f t="shared" si="6"/>
        <v>452.6</v>
      </c>
    </row>
    <row r="36" spans="3:11" x14ac:dyDescent="0.25">
      <c r="C36" s="8" t="s">
        <v>26</v>
      </c>
      <c r="E36" s="9">
        <f>'2018'!E34+'2019'!E34+'2020'!E34+'2021'!E34+'2022'!E34+'2023'!E35</f>
        <v>100</v>
      </c>
      <c r="G36" s="6">
        <f>G12+G13</f>
        <v>2352.9411764705883</v>
      </c>
      <c r="H36" s="6">
        <f t="shared" ref="H36:K36" si="7">H12+H13</f>
        <v>2000</v>
      </c>
      <c r="I36" s="6">
        <f t="shared" si="7"/>
        <v>0</v>
      </c>
      <c r="J36" s="6">
        <f t="shared" si="7"/>
        <v>211.76470588235293</v>
      </c>
      <c r="K36" s="6">
        <f t="shared" si="7"/>
        <v>141.1764705882353</v>
      </c>
    </row>
  </sheetData>
  <mergeCells count="19">
    <mergeCell ref="A8:A13"/>
    <mergeCell ref="A15:A18"/>
    <mergeCell ref="A21:A23"/>
    <mergeCell ref="A24:A25"/>
    <mergeCell ref="A31:L31"/>
    <mergeCell ref="L3:L5"/>
    <mergeCell ref="C4:C5"/>
    <mergeCell ref="D4:D5"/>
    <mergeCell ref="E4:E5"/>
    <mergeCell ref="F4:F5"/>
    <mergeCell ref="A26:A28"/>
    <mergeCell ref="A3:A5"/>
    <mergeCell ref="B3:B5"/>
    <mergeCell ref="C3:F3"/>
    <mergeCell ref="G3:K3"/>
    <mergeCell ref="G4:G5"/>
    <mergeCell ref="H4:I4"/>
    <mergeCell ref="J4:K4"/>
    <mergeCell ref="A19:A20"/>
  </mergeCells>
  <pageMargins left="0.51181102362204722" right="0.51181102362204722" top="0.78740157480314965" bottom="0.78740157480314965" header="0.31496062992125984" footer="0.31496062992125984"/>
  <pageSetup paperSize="9" scale="7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workbookViewId="0">
      <selection activeCell="M31" sqref="M31"/>
    </sheetView>
  </sheetViews>
  <sheetFormatPr defaultRowHeight="15" x14ac:dyDescent="0.25"/>
  <sheetData>
    <row r="1" spans="1:18" x14ac:dyDescent="0.25">
      <c r="A1" s="27" t="s">
        <v>218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5.75" thickBot="1" x14ac:dyDescent="0.3">
      <c r="A3" s="63" t="s">
        <v>1</v>
      </c>
      <c r="B3" s="64"/>
      <c r="C3" s="64"/>
      <c r="D3" s="65"/>
      <c r="E3" s="63" t="s">
        <v>27</v>
      </c>
      <c r="F3" s="64"/>
      <c r="G3" s="64"/>
      <c r="H3" s="64"/>
      <c r="I3" s="65"/>
      <c r="J3" s="59" t="s">
        <v>2</v>
      </c>
      <c r="K3" s="23"/>
      <c r="L3" s="23"/>
      <c r="M3" s="23"/>
      <c r="N3" s="23"/>
      <c r="O3" s="23"/>
      <c r="P3" s="23"/>
      <c r="Q3" s="23"/>
      <c r="R3" s="23"/>
    </row>
    <row r="4" spans="1:18" ht="15.75" thickBot="1" x14ac:dyDescent="0.3">
      <c r="A4" s="59" t="s">
        <v>3</v>
      </c>
      <c r="B4" s="59" t="s">
        <v>4</v>
      </c>
      <c r="C4" s="59" t="s">
        <v>7</v>
      </c>
      <c r="D4" s="59" t="s">
        <v>8</v>
      </c>
      <c r="E4" s="59" t="s">
        <v>5</v>
      </c>
      <c r="F4" s="63" t="s">
        <v>9</v>
      </c>
      <c r="G4" s="65"/>
      <c r="H4" s="63" t="s">
        <v>12</v>
      </c>
      <c r="I4" s="65"/>
      <c r="J4" s="60"/>
      <c r="K4" s="23"/>
      <c r="L4" s="23"/>
      <c r="M4" s="23"/>
      <c r="N4" s="23"/>
      <c r="O4" s="23"/>
      <c r="P4" s="23"/>
      <c r="Q4" s="23"/>
      <c r="R4" s="23"/>
    </row>
    <row r="5" spans="1:18" ht="34.5" thickBot="1" x14ac:dyDescent="0.3">
      <c r="A5" s="61"/>
      <c r="B5" s="61"/>
      <c r="C5" s="61"/>
      <c r="D5" s="61"/>
      <c r="E5" s="61"/>
      <c r="F5" s="29" t="s">
        <v>10</v>
      </c>
      <c r="G5" s="25" t="s">
        <v>11</v>
      </c>
      <c r="H5" s="25" t="s">
        <v>13</v>
      </c>
      <c r="I5" s="25" t="s">
        <v>14</v>
      </c>
      <c r="J5" s="61"/>
      <c r="K5" s="23"/>
      <c r="L5" s="23"/>
      <c r="M5" s="23"/>
      <c r="N5" s="23"/>
      <c r="O5" s="23"/>
      <c r="P5" s="23"/>
      <c r="Q5" s="23"/>
      <c r="R5" s="23"/>
    </row>
    <row r="6" spans="1:18" ht="15.75" thickBot="1" x14ac:dyDescent="0.3">
      <c r="A6" s="31" t="s">
        <v>76</v>
      </c>
      <c r="B6" s="24" t="s">
        <v>22</v>
      </c>
      <c r="C6" s="48" t="s">
        <v>64</v>
      </c>
      <c r="D6" s="24" t="s">
        <v>32</v>
      </c>
      <c r="E6" s="30">
        <v>50127.368421052633</v>
      </c>
      <c r="F6" s="30">
        <v>47621</v>
      </c>
      <c r="G6" s="30">
        <v>0</v>
      </c>
      <c r="H6" s="30">
        <v>2206.3684210526317</v>
      </c>
      <c r="I6" s="30">
        <v>300.00000000000006</v>
      </c>
      <c r="J6" s="30">
        <v>0</v>
      </c>
      <c r="K6" s="23"/>
      <c r="L6" s="34"/>
      <c r="M6" s="34"/>
      <c r="N6" s="34"/>
      <c r="O6" s="34"/>
      <c r="P6" s="34"/>
      <c r="Q6" s="34"/>
      <c r="R6" s="34"/>
    </row>
    <row r="7" spans="1:18" ht="15.75" thickBot="1" x14ac:dyDescent="0.3">
      <c r="A7" s="31" t="s">
        <v>77</v>
      </c>
      <c r="B7" s="24" t="s">
        <v>20</v>
      </c>
      <c r="C7" s="48" t="s">
        <v>21</v>
      </c>
      <c r="D7" s="24" t="s">
        <v>16</v>
      </c>
      <c r="E7" s="30">
        <v>12400</v>
      </c>
      <c r="F7" s="30">
        <v>10540</v>
      </c>
      <c r="G7" s="30">
        <v>1054.8000000000002</v>
      </c>
      <c r="H7" s="30">
        <v>352.6</v>
      </c>
      <c r="I7" s="30">
        <v>452.6</v>
      </c>
      <c r="J7" s="30">
        <v>0</v>
      </c>
      <c r="K7" s="23"/>
      <c r="L7" s="34"/>
      <c r="M7" s="34"/>
      <c r="N7" s="34"/>
      <c r="O7" s="34"/>
      <c r="P7" s="34"/>
      <c r="Q7" s="34"/>
      <c r="R7" s="34"/>
    </row>
    <row r="8" spans="1:18" ht="15.75" thickBot="1" x14ac:dyDescent="0.3">
      <c r="A8" s="59" t="s">
        <v>78</v>
      </c>
      <c r="B8" s="59" t="s">
        <v>39</v>
      </c>
      <c r="C8" s="59" t="s">
        <v>66</v>
      </c>
      <c r="D8" s="24" t="s">
        <v>65</v>
      </c>
      <c r="E8" s="30">
        <v>55125.784313725497</v>
      </c>
      <c r="F8" s="30">
        <v>19350.75</v>
      </c>
      <c r="G8" s="30">
        <v>6450.25</v>
      </c>
      <c r="H8" s="30">
        <v>380</v>
      </c>
      <c r="I8" s="30">
        <v>28944.784313725493</v>
      </c>
      <c r="J8" s="30">
        <v>0</v>
      </c>
      <c r="K8" s="23"/>
      <c r="L8" s="34"/>
      <c r="M8" s="34"/>
      <c r="N8" s="34"/>
      <c r="O8" s="34"/>
      <c r="P8" s="34"/>
      <c r="Q8" s="34"/>
      <c r="R8" s="34"/>
    </row>
    <row r="9" spans="1:18" ht="15.75" thickBot="1" x14ac:dyDescent="0.3">
      <c r="A9" s="61"/>
      <c r="B9" s="61"/>
      <c r="C9" s="61"/>
      <c r="D9" s="24" t="s">
        <v>67</v>
      </c>
      <c r="E9" s="30">
        <v>1875</v>
      </c>
      <c r="F9" s="30">
        <v>1125</v>
      </c>
      <c r="G9" s="30">
        <v>375</v>
      </c>
      <c r="H9" s="30">
        <v>0</v>
      </c>
      <c r="I9" s="30">
        <v>375</v>
      </c>
      <c r="J9" s="30">
        <v>0</v>
      </c>
      <c r="K9" s="23"/>
      <c r="L9" s="34"/>
      <c r="M9" s="34"/>
      <c r="N9" s="34"/>
      <c r="O9" s="34"/>
      <c r="P9" s="34"/>
      <c r="Q9" s="34"/>
      <c r="R9" s="34"/>
    </row>
    <row r="10" spans="1:18" ht="15.75" thickBot="1" x14ac:dyDescent="0.3">
      <c r="A10" s="59" t="s">
        <v>79</v>
      </c>
      <c r="B10" s="59" t="s">
        <v>22</v>
      </c>
      <c r="C10" s="59" t="s">
        <v>40</v>
      </c>
      <c r="D10" s="24" t="s">
        <v>37</v>
      </c>
      <c r="E10" s="30">
        <v>1176.4705882352941</v>
      </c>
      <c r="F10" s="30">
        <v>1000</v>
      </c>
      <c r="G10" s="30">
        <v>0</v>
      </c>
      <c r="H10" s="30">
        <v>105.88235294117646</v>
      </c>
      <c r="I10" s="30">
        <v>70.588235294117652</v>
      </c>
      <c r="J10" s="30">
        <v>0</v>
      </c>
      <c r="K10" s="23"/>
      <c r="L10" s="34"/>
      <c r="M10" s="34"/>
      <c r="N10" s="34"/>
      <c r="O10" s="34"/>
      <c r="P10" s="34"/>
      <c r="Q10" s="34"/>
      <c r="R10" s="34"/>
    </row>
    <row r="11" spans="1:18" ht="15.75" thickBot="1" x14ac:dyDescent="0.3">
      <c r="A11" s="61"/>
      <c r="B11" s="61"/>
      <c r="C11" s="61"/>
      <c r="D11" s="24" t="s">
        <v>38</v>
      </c>
      <c r="E11" s="30">
        <v>1176.4705882352941</v>
      </c>
      <c r="F11" s="30">
        <v>1000</v>
      </c>
      <c r="G11" s="30">
        <v>0</v>
      </c>
      <c r="H11" s="30">
        <v>105.88235294117646</v>
      </c>
      <c r="I11" s="30">
        <v>70.588235294117652</v>
      </c>
      <c r="J11" s="30">
        <v>0</v>
      </c>
      <c r="K11" s="23"/>
      <c r="L11" s="34"/>
      <c r="M11" s="34"/>
      <c r="N11" s="34"/>
      <c r="O11" s="34"/>
      <c r="P11" s="34"/>
      <c r="Q11" s="34"/>
      <c r="R11" s="34"/>
    </row>
    <row r="12" spans="1:18" ht="15.75" thickBot="1" x14ac:dyDescent="0.3">
      <c r="A12" s="31" t="s">
        <v>6</v>
      </c>
      <c r="B12" s="24"/>
      <c r="C12" s="24"/>
      <c r="D12" s="24"/>
      <c r="E12" s="30">
        <v>121881.09391124872</v>
      </c>
      <c r="F12" s="30">
        <v>80636.75</v>
      </c>
      <c r="G12" s="30">
        <v>7880.05</v>
      </c>
      <c r="H12" s="30">
        <v>3150.7331269349847</v>
      </c>
      <c r="I12" s="30">
        <v>30213.56078431373</v>
      </c>
      <c r="J12" s="30">
        <v>0</v>
      </c>
      <c r="K12" s="23"/>
      <c r="L12" s="34"/>
      <c r="M12" s="34"/>
      <c r="N12" s="34"/>
      <c r="O12" s="34"/>
      <c r="P12" s="34"/>
      <c r="Q12" s="34"/>
      <c r="R12" s="34"/>
    </row>
    <row r="13" spans="1:18" x14ac:dyDescent="0.25">
      <c r="A13" s="26"/>
      <c r="B13" s="26"/>
      <c r="C13" s="26"/>
      <c r="D13" s="26"/>
      <c r="E13" s="32"/>
      <c r="F13" s="32"/>
      <c r="G13" s="32"/>
      <c r="H13" s="32"/>
      <c r="I13" s="32"/>
      <c r="J13" s="32"/>
      <c r="K13" s="23"/>
      <c r="L13" s="23"/>
      <c r="M13" s="28"/>
      <c r="N13" s="23"/>
      <c r="O13" s="23"/>
      <c r="P13" s="23"/>
      <c r="Q13" s="23"/>
      <c r="R13" s="23"/>
    </row>
    <row r="14" spans="1:18" x14ac:dyDescent="0.25">
      <c r="A14" s="70" t="s">
        <v>80</v>
      </c>
      <c r="B14" s="70"/>
      <c r="C14" s="70"/>
      <c r="D14" s="70"/>
      <c r="E14" s="70"/>
      <c r="F14" s="70"/>
      <c r="G14" s="70"/>
      <c r="H14" s="70"/>
      <c r="I14" s="70"/>
      <c r="J14" s="70"/>
      <c r="K14" s="23"/>
      <c r="L14" s="23"/>
      <c r="M14" s="23"/>
      <c r="N14" s="23"/>
      <c r="O14" s="23"/>
      <c r="P14" s="23"/>
      <c r="Q14" s="23"/>
      <c r="R14" s="23"/>
    </row>
    <row r="15" spans="1:18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23"/>
      <c r="L15" s="23"/>
      <c r="M15" s="23"/>
      <c r="N15" s="23"/>
      <c r="O15" s="23"/>
      <c r="P15" s="23"/>
      <c r="Q15" s="23"/>
      <c r="R15" s="23"/>
    </row>
    <row r="16" spans="1:18" x14ac:dyDescent="0.25">
      <c r="A16" s="27" t="s">
        <v>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3" ht="15.75" thickBot="1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ht="15.75" thickBot="1" x14ac:dyDescent="0.3">
      <c r="A18" s="63" t="s">
        <v>1</v>
      </c>
      <c r="B18" s="64"/>
      <c r="C18" s="64"/>
      <c r="D18" s="65"/>
      <c r="E18" s="63" t="s">
        <v>27</v>
      </c>
      <c r="F18" s="64"/>
      <c r="G18" s="64"/>
      <c r="H18" s="64"/>
      <c r="I18" s="65"/>
      <c r="J18" s="59" t="s">
        <v>2</v>
      </c>
      <c r="K18" s="23"/>
      <c r="L18" s="23"/>
      <c r="M18" s="23"/>
    </row>
    <row r="19" spans="1:13" ht="15.75" thickBot="1" x14ac:dyDescent="0.3">
      <c r="A19" s="59" t="s">
        <v>3</v>
      </c>
      <c r="B19" s="59" t="s">
        <v>4</v>
      </c>
      <c r="C19" s="59" t="s">
        <v>7</v>
      </c>
      <c r="D19" s="59" t="s">
        <v>8</v>
      </c>
      <c r="E19" s="59" t="s">
        <v>5</v>
      </c>
      <c r="F19" s="63" t="s">
        <v>9</v>
      </c>
      <c r="G19" s="65"/>
      <c r="H19" s="63" t="s">
        <v>12</v>
      </c>
      <c r="I19" s="65"/>
      <c r="J19" s="60"/>
      <c r="K19" s="23"/>
      <c r="L19" s="23"/>
      <c r="M19" s="23"/>
    </row>
    <row r="20" spans="1:13" ht="34.5" thickBot="1" x14ac:dyDescent="0.3">
      <c r="A20" s="61"/>
      <c r="B20" s="61"/>
      <c r="C20" s="61"/>
      <c r="D20" s="61"/>
      <c r="E20" s="61"/>
      <c r="F20" s="29" t="s">
        <v>10</v>
      </c>
      <c r="G20" s="25" t="s">
        <v>11</v>
      </c>
      <c r="H20" s="25" t="s">
        <v>13</v>
      </c>
      <c r="I20" s="25" t="s">
        <v>14</v>
      </c>
      <c r="J20" s="61"/>
      <c r="K20" s="23"/>
      <c r="L20" s="23"/>
      <c r="M20" s="23"/>
    </row>
    <row r="21" spans="1:13" ht="15.75" thickBot="1" x14ac:dyDescent="0.3">
      <c r="A21" s="31" t="s">
        <v>76</v>
      </c>
      <c r="B21" s="24" t="s">
        <v>22</v>
      </c>
      <c r="C21" s="48" t="s">
        <v>64</v>
      </c>
      <c r="D21" s="24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23"/>
      <c r="L21" s="23"/>
      <c r="M21" s="28"/>
    </row>
    <row r="22" spans="1:13" ht="15.75" thickBot="1" x14ac:dyDescent="0.3">
      <c r="A22" s="31" t="s">
        <v>77</v>
      </c>
      <c r="B22" s="24" t="s">
        <v>20</v>
      </c>
      <c r="C22" s="48" t="s">
        <v>21</v>
      </c>
      <c r="D22" s="24" t="s">
        <v>16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23"/>
      <c r="L22" s="23"/>
      <c r="M22" s="28"/>
    </row>
    <row r="23" spans="1:13" ht="15.75" thickBot="1" x14ac:dyDescent="0.3">
      <c r="A23" s="59" t="s">
        <v>78</v>
      </c>
      <c r="B23" s="59" t="s">
        <v>39</v>
      </c>
      <c r="C23" s="59" t="s">
        <v>66</v>
      </c>
      <c r="D23" s="24" t="s">
        <v>65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23"/>
      <c r="L23" s="23"/>
      <c r="M23" s="28"/>
    </row>
    <row r="24" spans="1:13" ht="15.75" thickBot="1" x14ac:dyDescent="0.3">
      <c r="A24" s="61" t="s">
        <v>17</v>
      </c>
      <c r="B24" s="61" t="s">
        <v>39</v>
      </c>
      <c r="C24" s="61" t="s">
        <v>66</v>
      </c>
      <c r="D24" s="24" t="s">
        <v>67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23"/>
      <c r="L24" s="23"/>
      <c r="M24" s="28"/>
    </row>
    <row r="25" spans="1:13" ht="15.75" thickBot="1" x14ac:dyDescent="0.3">
      <c r="A25" s="59" t="s">
        <v>79</v>
      </c>
      <c r="B25" s="59" t="s">
        <v>22</v>
      </c>
      <c r="C25" s="59" t="s">
        <v>40</v>
      </c>
      <c r="D25" s="24" t="s">
        <v>37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23"/>
      <c r="L25" s="23"/>
      <c r="M25" s="28"/>
    </row>
    <row r="26" spans="1:13" ht="15.75" thickBot="1" x14ac:dyDescent="0.3">
      <c r="A26" s="61"/>
      <c r="B26" s="61"/>
      <c r="C26" s="61"/>
      <c r="D26" s="24" t="s">
        <v>38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23"/>
      <c r="L26" s="23"/>
      <c r="M26" s="28"/>
    </row>
    <row r="27" spans="1:13" ht="15.75" thickBot="1" x14ac:dyDescent="0.3">
      <c r="A27" s="31" t="s">
        <v>6</v>
      </c>
      <c r="B27" s="24"/>
      <c r="C27" s="24"/>
      <c r="D27" s="24"/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23"/>
      <c r="L27" s="23"/>
      <c r="M27" s="28"/>
    </row>
    <row r="28" spans="1:13" x14ac:dyDescent="0.25">
      <c r="A28" s="26"/>
      <c r="B28" s="26"/>
      <c r="C28" s="26"/>
      <c r="D28" s="26"/>
      <c r="E28" s="32"/>
      <c r="F28" s="32"/>
      <c r="G28" s="32"/>
      <c r="H28" s="32"/>
      <c r="I28" s="32"/>
      <c r="J28" s="32"/>
      <c r="K28" s="23"/>
      <c r="L28" s="23"/>
      <c r="M28" s="28"/>
    </row>
    <row r="29" spans="1:13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7" t="s">
        <v>70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15.75" thickBot="1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ht="15.75" thickBot="1" x14ac:dyDescent="0.3">
      <c r="A32" s="63" t="s">
        <v>1</v>
      </c>
      <c r="B32" s="64"/>
      <c r="C32" s="64"/>
      <c r="D32" s="65"/>
      <c r="E32" s="63" t="s">
        <v>27</v>
      </c>
      <c r="F32" s="64"/>
      <c r="G32" s="64"/>
      <c r="H32" s="64"/>
      <c r="I32" s="65"/>
      <c r="J32" s="59" t="s">
        <v>2</v>
      </c>
      <c r="K32" s="23"/>
      <c r="L32" s="23"/>
      <c r="M32" s="23"/>
    </row>
    <row r="33" spans="1:13" ht="15.75" thickBot="1" x14ac:dyDescent="0.3">
      <c r="A33" s="59" t="s">
        <v>3</v>
      </c>
      <c r="B33" s="59" t="s">
        <v>4</v>
      </c>
      <c r="C33" s="59" t="s">
        <v>7</v>
      </c>
      <c r="D33" s="59" t="s">
        <v>8</v>
      </c>
      <c r="E33" s="59" t="s">
        <v>5</v>
      </c>
      <c r="F33" s="63" t="s">
        <v>9</v>
      </c>
      <c r="G33" s="65"/>
      <c r="H33" s="63" t="s">
        <v>12</v>
      </c>
      <c r="I33" s="65"/>
      <c r="J33" s="60"/>
      <c r="K33" s="23"/>
      <c r="L33" s="23"/>
      <c r="M33" s="23"/>
    </row>
    <row r="34" spans="1:13" ht="34.5" thickBot="1" x14ac:dyDescent="0.3">
      <c r="A34" s="61"/>
      <c r="B34" s="61"/>
      <c r="C34" s="61"/>
      <c r="D34" s="61"/>
      <c r="E34" s="61"/>
      <c r="F34" s="29" t="s">
        <v>10</v>
      </c>
      <c r="G34" s="25" t="s">
        <v>11</v>
      </c>
      <c r="H34" s="25" t="s">
        <v>13</v>
      </c>
      <c r="I34" s="25" t="s">
        <v>14</v>
      </c>
      <c r="J34" s="61"/>
      <c r="K34" s="23"/>
      <c r="L34" s="23"/>
      <c r="M34" s="23"/>
    </row>
    <row r="35" spans="1:13" ht="15.75" thickBot="1" x14ac:dyDescent="0.3">
      <c r="A35" s="31" t="s">
        <v>76</v>
      </c>
      <c r="B35" s="24" t="s">
        <v>22</v>
      </c>
      <c r="C35" s="24" t="s">
        <v>64</v>
      </c>
      <c r="D35" s="24" t="s">
        <v>32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23"/>
      <c r="L35" s="23"/>
      <c r="M35" s="28"/>
    </row>
    <row r="36" spans="1:13" ht="15.75" thickBot="1" x14ac:dyDescent="0.3">
      <c r="A36" s="31" t="s">
        <v>77</v>
      </c>
      <c r="B36" s="24" t="s">
        <v>20</v>
      </c>
      <c r="C36" s="24" t="s">
        <v>21</v>
      </c>
      <c r="D36" s="24" t="s">
        <v>16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23"/>
      <c r="L36" s="23"/>
      <c r="M36" s="28"/>
    </row>
    <row r="37" spans="1:13" ht="15.75" thickBot="1" x14ac:dyDescent="0.3">
      <c r="A37" s="59" t="s">
        <v>78</v>
      </c>
      <c r="B37" s="59" t="s">
        <v>39</v>
      </c>
      <c r="C37" s="59" t="s">
        <v>66</v>
      </c>
      <c r="D37" s="24" t="s">
        <v>65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23"/>
      <c r="L37" s="23"/>
      <c r="M37" s="28"/>
    </row>
    <row r="38" spans="1:13" ht="15.75" thickBot="1" x14ac:dyDescent="0.3">
      <c r="A38" s="61" t="s">
        <v>17</v>
      </c>
      <c r="B38" s="61" t="s">
        <v>39</v>
      </c>
      <c r="C38" s="61" t="s">
        <v>66</v>
      </c>
      <c r="D38" s="24" t="s">
        <v>67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23"/>
      <c r="L38" s="23"/>
      <c r="M38" s="28"/>
    </row>
    <row r="39" spans="1:13" ht="15.75" thickBot="1" x14ac:dyDescent="0.3">
      <c r="A39" s="59" t="s">
        <v>79</v>
      </c>
      <c r="B39" s="59" t="s">
        <v>22</v>
      </c>
      <c r="C39" s="59" t="s">
        <v>40</v>
      </c>
      <c r="D39" s="24" t="s">
        <v>37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23"/>
      <c r="L39" s="23"/>
      <c r="M39" s="28"/>
    </row>
    <row r="40" spans="1:13" ht="15.75" thickBot="1" x14ac:dyDescent="0.3">
      <c r="A40" s="61"/>
      <c r="B40" s="61"/>
      <c r="C40" s="61"/>
      <c r="D40" s="24" t="s">
        <v>38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23"/>
      <c r="L40" s="23"/>
      <c r="M40" s="28"/>
    </row>
    <row r="41" spans="1:13" ht="15.75" thickBot="1" x14ac:dyDescent="0.3">
      <c r="A41" s="31" t="s">
        <v>6</v>
      </c>
      <c r="B41" s="24"/>
      <c r="C41" s="24"/>
      <c r="D41" s="24"/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23"/>
      <c r="L41" s="23"/>
      <c r="M41" s="28"/>
    </row>
    <row r="42" spans="1:13" x14ac:dyDescent="0.25">
      <c r="A42" s="26"/>
      <c r="B42" s="26"/>
      <c r="C42" s="26"/>
      <c r="D42" s="26"/>
      <c r="E42" s="32"/>
      <c r="F42" s="32"/>
      <c r="G42" s="32"/>
      <c r="H42" s="32"/>
      <c r="I42" s="32"/>
      <c r="J42" s="32"/>
      <c r="K42" s="23"/>
      <c r="L42" s="23"/>
      <c r="M42" s="28"/>
    </row>
    <row r="43" spans="1:13" x14ac:dyDescent="0.25">
      <c r="A43" s="27" t="s">
        <v>41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5.75" thickBo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ht="15.75" thickBot="1" x14ac:dyDescent="0.3">
      <c r="A45" s="63" t="s">
        <v>1</v>
      </c>
      <c r="B45" s="64"/>
      <c r="C45" s="64"/>
      <c r="D45" s="65"/>
      <c r="E45" s="63" t="s">
        <v>27</v>
      </c>
      <c r="F45" s="64"/>
      <c r="G45" s="64"/>
      <c r="H45" s="64"/>
      <c r="I45" s="65"/>
      <c r="J45" s="59" t="s">
        <v>2</v>
      </c>
      <c r="K45" s="23"/>
      <c r="L45" s="23"/>
      <c r="M45" s="23"/>
    </row>
    <row r="46" spans="1:13" ht="15.75" thickBot="1" x14ac:dyDescent="0.3">
      <c r="A46" s="59" t="s">
        <v>3</v>
      </c>
      <c r="B46" s="59" t="s">
        <v>4</v>
      </c>
      <c r="C46" s="59" t="s">
        <v>7</v>
      </c>
      <c r="D46" s="59" t="s">
        <v>8</v>
      </c>
      <c r="E46" s="59" t="s">
        <v>5</v>
      </c>
      <c r="F46" s="63" t="s">
        <v>9</v>
      </c>
      <c r="G46" s="65"/>
      <c r="H46" s="63" t="s">
        <v>12</v>
      </c>
      <c r="I46" s="65"/>
      <c r="J46" s="60"/>
      <c r="K46" s="23"/>
      <c r="L46" s="23"/>
      <c r="M46" s="23"/>
    </row>
    <row r="47" spans="1:13" ht="34.5" thickBot="1" x14ac:dyDescent="0.3">
      <c r="A47" s="61"/>
      <c r="B47" s="61"/>
      <c r="C47" s="61"/>
      <c r="D47" s="61"/>
      <c r="E47" s="61"/>
      <c r="F47" s="29" t="s">
        <v>10</v>
      </c>
      <c r="G47" s="25" t="s">
        <v>11</v>
      </c>
      <c r="H47" s="25" t="s">
        <v>13</v>
      </c>
      <c r="I47" s="25" t="s">
        <v>14</v>
      </c>
      <c r="J47" s="61"/>
      <c r="K47" s="23"/>
      <c r="L47" s="23"/>
      <c r="M47" s="23"/>
    </row>
    <row r="48" spans="1:13" ht="15.75" thickBot="1" x14ac:dyDescent="0.3">
      <c r="A48" s="31" t="s">
        <v>76</v>
      </c>
      <c r="B48" s="24" t="s">
        <v>22</v>
      </c>
      <c r="C48" s="24" t="s">
        <v>64</v>
      </c>
      <c r="D48" s="24" t="s">
        <v>32</v>
      </c>
      <c r="E48" s="30">
        <v>17473.684210526317</v>
      </c>
      <c r="F48" s="30">
        <v>16600</v>
      </c>
      <c r="G48" s="30">
        <v>0</v>
      </c>
      <c r="H48" s="30">
        <v>710.52631578947376</v>
      </c>
      <c r="I48" s="30">
        <v>163.15789473684214</v>
      </c>
      <c r="J48" s="30">
        <v>0</v>
      </c>
      <c r="K48" s="23"/>
      <c r="L48" s="23"/>
      <c r="M48" s="28"/>
    </row>
    <row r="49" spans="1:13" ht="15.75" thickBot="1" x14ac:dyDescent="0.3">
      <c r="A49" s="31" t="s">
        <v>77</v>
      </c>
      <c r="B49" s="24" t="s">
        <v>20</v>
      </c>
      <c r="C49" s="24" t="s">
        <v>21</v>
      </c>
      <c r="D49" s="24" t="s">
        <v>16</v>
      </c>
      <c r="E49" s="30">
        <v>5000</v>
      </c>
      <c r="F49" s="30">
        <v>4250</v>
      </c>
      <c r="G49" s="30">
        <v>400</v>
      </c>
      <c r="H49" s="30">
        <v>175</v>
      </c>
      <c r="I49" s="30">
        <v>175</v>
      </c>
      <c r="J49" s="30">
        <v>0</v>
      </c>
      <c r="K49" s="23"/>
      <c r="L49" s="23"/>
      <c r="M49" s="28"/>
    </row>
    <row r="50" spans="1:13" ht="15.75" thickBot="1" x14ac:dyDescent="0.3">
      <c r="A50" s="59" t="s">
        <v>78</v>
      </c>
      <c r="B50" s="59" t="s">
        <v>39</v>
      </c>
      <c r="C50" s="59" t="s">
        <v>66</v>
      </c>
      <c r="D50" s="24" t="s">
        <v>65</v>
      </c>
      <c r="E50" s="30">
        <v>19580.392156862745</v>
      </c>
      <c r="F50" s="30">
        <v>6806.25</v>
      </c>
      <c r="G50" s="30">
        <v>2268.75</v>
      </c>
      <c r="H50" s="30">
        <v>270</v>
      </c>
      <c r="I50" s="30">
        <v>10235.392156862745</v>
      </c>
      <c r="J50" s="30">
        <v>0</v>
      </c>
      <c r="K50" s="23"/>
      <c r="L50" s="23"/>
      <c r="M50" s="28"/>
    </row>
    <row r="51" spans="1:13" ht="15.75" thickBot="1" x14ac:dyDescent="0.3">
      <c r="A51" s="61" t="s">
        <v>17</v>
      </c>
      <c r="B51" s="61" t="s">
        <v>39</v>
      </c>
      <c r="C51" s="61" t="s">
        <v>66</v>
      </c>
      <c r="D51" s="24" t="s">
        <v>67</v>
      </c>
      <c r="E51" s="30">
        <v>375</v>
      </c>
      <c r="F51" s="30">
        <v>225</v>
      </c>
      <c r="G51" s="30">
        <v>75</v>
      </c>
      <c r="H51" s="30">
        <v>0</v>
      </c>
      <c r="I51" s="30">
        <v>75</v>
      </c>
      <c r="J51" s="30">
        <v>0</v>
      </c>
      <c r="K51" s="23"/>
      <c r="L51" s="23"/>
      <c r="M51" s="28"/>
    </row>
    <row r="52" spans="1:13" ht="15.75" thickBot="1" x14ac:dyDescent="0.3">
      <c r="A52" s="59" t="s">
        <v>79</v>
      </c>
      <c r="B52" s="59" t="s">
        <v>22</v>
      </c>
      <c r="C52" s="59" t="s">
        <v>40</v>
      </c>
      <c r="D52" s="24" t="s">
        <v>37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23"/>
      <c r="L52" s="23"/>
      <c r="M52" s="28"/>
    </row>
    <row r="53" spans="1:13" ht="15.75" thickBot="1" x14ac:dyDescent="0.3">
      <c r="A53" s="61"/>
      <c r="B53" s="61"/>
      <c r="C53" s="61"/>
      <c r="D53" s="24" t="s">
        <v>38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23"/>
      <c r="L53" s="23"/>
      <c r="M53" s="28"/>
    </row>
    <row r="54" spans="1:13" ht="15.75" thickBot="1" x14ac:dyDescent="0.3">
      <c r="A54" s="31" t="s">
        <v>6</v>
      </c>
      <c r="B54" s="24"/>
      <c r="C54" s="24"/>
      <c r="D54" s="24"/>
      <c r="E54" s="30">
        <v>42429.076367389061</v>
      </c>
      <c r="F54" s="30">
        <v>27881.25</v>
      </c>
      <c r="G54" s="30">
        <v>2743.75</v>
      </c>
      <c r="H54" s="30">
        <v>1155.5263157894738</v>
      </c>
      <c r="I54" s="30">
        <v>10648.550051599586</v>
      </c>
      <c r="J54" s="30">
        <v>0</v>
      </c>
      <c r="K54" s="23"/>
      <c r="L54" s="23"/>
      <c r="M54" s="28"/>
    </row>
    <row r="55" spans="1:13" x14ac:dyDescent="0.25">
      <c r="A55" s="26"/>
      <c r="B55" s="26"/>
      <c r="C55" s="26"/>
      <c r="D55" s="26"/>
      <c r="E55" s="32"/>
      <c r="F55" s="32"/>
      <c r="G55" s="32"/>
      <c r="H55" s="32"/>
      <c r="I55" s="32"/>
      <c r="J55" s="32"/>
      <c r="K55" s="23"/>
      <c r="L55" s="23"/>
      <c r="M55" s="28"/>
    </row>
    <row r="56" spans="1:13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7" t="s">
        <v>42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ht="15.75" thickBot="1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ht="15.75" thickBot="1" x14ac:dyDescent="0.3">
      <c r="A59" s="63" t="s">
        <v>1</v>
      </c>
      <c r="B59" s="64"/>
      <c r="C59" s="64"/>
      <c r="D59" s="65"/>
      <c r="E59" s="63" t="s">
        <v>27</v>
      </c>
      <c r="F59" s="64"/>
      <c r="G59" s="64"/>
      <c r="H59" s="64"/>
      <c r="I59" s="65"/>
      <c r="J59" s="59" t="s">
        <v>2</v>
      </c>
      <c r="K59" s="23"/>
      <c r="L59" s="23"/>
      <c r="M59" s="23"/>
    </row>
    <row r="60" spans="1:13" ht="15.75" thickBot="1" x14ac:dyDescent="0.3">
      <c r="A60" s="59" t="s">
        <v>3</v>
      </c>
      <c r="B60" s="59" t="s">
        <v>4</v>
      </c>
      <c r="C60" s="59" t="s">
        <v>7</v>
      </c>
      <c r="D60" s="59" t="s">
        <v>8</v>
      </c>
      <c r="E60" s="59" t="s">
        <v>5</v>
      </c>
      <c r="F60" s="63" t="s">
        <v>9</v>
      </c>
      <c r="G60" s="65"/>
      <c r="H60" s="63" t="s">
        <v>12</v>
      </c>
      <c r="I60" s="65"/>
      <c r="J60" s="60"/>
      <c r="K60" s="23"/>
      <c r="L60" s="23"/>
      <c r="M60" s="23"/>
    </row>
    <row r="61" spans="1:13" ht="34.5" thickBot="1" x14ac:dyDescent="0.3">
      <c r="A61" s="61"/>
      <c r="B61" s="61"/>
      <c r="C61" s="61"/>
      <c r="D61" s="61"/>
      <c r="E61" s="61"/>
      <c r="F61" s="29" t="s">
        <v>10</v>
      </c>
      <c r="G61" s="25" t="s">
        <v>11</v>
      </c>
      <c r="H61" s="25" t="s">
        <v>13</v>
      </c>
      <c r="I61" s="25" t="s">
        <v>14</v>
      </c>
      <c r="J61" s="61"/>
      <c r="K61" s="23"/>
      <c r="L61" s="23"/>
      <c r="M61" s="23"/>
    </row>
    <row r="62" spans="1:13" ht="15.75" thickBot="1" x14ac:dyDescent="0.3">
      <c r="A62" s="31" t="s">
        <v>76</v>
      </c>
      <c r="B62" s="24" t="s">
        <v>22</v>
      </c>
      <c r="C62" s="24" t="s">
        <v>64</v>
      </c>
      <c r="D62" s="24" t="s">
        <v>32</v>
      </c>
      <c r="E62" s="30">
        <v>11074.736842105263</v>
      </c>
      <c r="F62" s="30">
        <v>10521</v>
      </c>
      <c r="G62" s="30">
        <v>0</v>
      </c>
      <c r="H62" s="30">
        <v>480.0526315789474</v>
      </c>
      <c r="I62" s="30">
        <v>73.684210526315809</v>
      </c>
      <c r="J62" s="30">
        <v>0</v>
      </c>
      <c r="K62" s="23"/>
      <c r="L62" s="23"/>
      <c r="M62" s="28"/>
    </row>
    <row r="63" spans="1:13" ht="15.75" thickBot="1" x14ac:dyDescent="0.3">
      <c r="A63" s="31" t="s">
        <v>77</v>
      </c>
      <c r="B63" s="24" t="s">
        <v>20</v>
      </c>
      <c r="C63" s="24" t="s">
        <v>21</v>
      </c>
      <c r="D63" s="24" t="s">
        <v>16</v>
      </c>
      <c r="E63" s="30">
        <v>1340</v>
      </c>
      <c r="F63" s="30">
        <v>1139</v>
      </c>
      <c r="G63" s="30">
        <v>120.2</v>
      </c>
      <c r="H63" s="30">
        <v>40.4</v>
      </c>
      <c r="I63" s="30">
        <v>40.4</v>
      </c>
      <c r="J63" s="30">
        <v>0</v>
      </c>
      <c r="K63" s="23"/>
      <c r="L63" s="23"/>
      <c r="M63" s="28"/>
    </row>
    <row r="64" spans="1:13" ht="15.75" thickBot="1" x14ac:dyDescent="0.3">
      <c r="A64" s="59" t="s">
        <v>78</v>
      </c>
      <c r="B64" s="59" t="s">
        <v>39</v>
      </c>
      <c r="C64" s="59" t="s">
        <v>66</v>
      </c>
      <c r="D64" s="24" t="s">
        <v>65</v>
      </c>
      <c r="E64" s="30">
        <v>7916.6666666666661</v>
      </c>
      <c r="F64" s="30">
        <v>2981.25</v>
      </c>
      <c r="G64" s="30">
        <v>993.75</v>
      </c>
      <c r="H64" s="30">
        <v>0</v>
      </c>
      <c r="I64" s="30">
        <v>3941.6666666666665</v>
      </c>
      <c r="J64" s="30">
        <v>0</v>
      </c>
      <c r="K64" s="23"/>
      <c r="L64" s="23"/>
      <c r="M64" s="28"/>
    </row>
    <row r="65" spans="1:13" ht="15.75" thickBot="1" x14ac:dyDescent="0.3">
      <c r="A65" s="61" t="s">
        <v>17</v>
      </c>
      <c r="B65" s="61" t="s">
        <v>39</v>
      </c>
      <c r="C65" s="61" t="s">
        <v>66</v>
      </c>
      <c r="D65" s="24" t="s">
        <v>67</v>
      </c>
      <c r="E65" s="30">
        <v>750</v>
      </c>
      <c r="F65" s="30">
        <v>450</v>
      </c>
      <c r="G65" s="30">
        <v>150</v>
      </c>
      <c r="H65" s="30">
        <v>0</v>
      </c>
      <c r="I65" s="30">
        <v>150</v>
      </c>
      <c r="J65" s="30">
        <v>0</v>
      </c>
      <c r="K65" s="23"/>
      <c r="L65" s="23"/>
      <c r="M65" s="28"/>
    </row>
    <row r="66" spans="1:13" ht="15.75" thickBot="1" x14ac:dyDescent="0.3">
      <c r="A66" s="59" t="s">
        <v>79</v>
      </c>
      <c r="B66" s="59" t="s">
        <v>22</v>
      </c>
      <c r="C66" s="59" t="s">
        <v>40</v>
      </c>
      <c r="D66" s="24" t="s">
        <v>37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23"/>
      <c r="L66" s="23"/>
      <c r="M66" s="28"/>
    </row>
    <row r="67" spans="1:13" ht="15.75" thickBot="1" x14ac:dyDescent="0.3">
      <c r="A67" s="61"/>
      <c r="B67" s="61"/>
      <c r="C67" s="61"/>
      <c r="D67" s="24" t="s">
        <v>38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23"/>
      <c r="L67" s="23"/>
      <c r="M67" s="28"/>
    </row>
    <row r="68" spans="1:13" ht="15.75" thickBot="1" x14ac:dyDescent="0.3">
      <c r="A68" s="31" t="s">
        <v>6</v>
      </c>
      <c r="B68" s="24"/>
      <c r="C68" s="24"/>
      <c r="D68" s="24"/>
      <c r="E68" s="30">
        <v>21081.403508771931</v>
      </c>
      <c r="F68" s="30">
        <v>15091.25</v>
      </c>
      <c r="G68" s="30">
        <v>1263.95</v>
      </c>
      <c r="H68" s="30">
        <v>520.45263157894738</v>
      </c>
      <c r="I68" s="30">
        <v>4205.7508771929824</v>
      </c>
      <c r="J68" s="30">
        <v>0</v>
      </c>
      <c r="K68" s="23"/>
      <c r="L68" s="23"/>
      <c r="M68" s="28"/>
    </row>
    <row r="69" spans="1:13" x14ac:dyDescent="0.25">
      <c r="A69" s="26"/>
      <c r="B69" s="26"/>
      <c r="C69" s="26"/>
      <c r="D69" s="26"/>
      <c r="E69" s="32"/>
      <c r="F69" s="32"/>
      <c r="G69" s="32"/>
      <c r="H69" s="32"/>
      <c r="I69" s="32"/>
      <c r="J69" s="32"/>
      <c r="K69" s="23"/>
      <c r="L69" s="23"/>
      <c r="M69" s="28"/>
    </row>
    <row r="70" spans="1:13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7" t="s">
        <v>43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ht="15.75" thickBot="1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15.75" thickBot="1" x14ac:dyDescent="0.3">
      <c r="A73" s="63" t="s">
        <v>1</v>
      </c>
      <c r="B73" s="64"/>
      <c r="C73" s="64"/>
      <c r="D73" s="65"/>
      <c r="E73" s="63" t="s">
        <v>27</v>
      </c>
      <c r="F73" s="64"/>
      <c r="G73" s="64"/>
      <c r="H73" s="64"/>
      <c r="I73" s="65"/>
      <c r="J73" s="59" t="s">
        <v>2</v>
      </c>
      <c r="K73" s="23"/>
      <c r="L73" s="23"/>
      <c r="M73" s="23"/>
    </row>
    <row r="74" spans="1:13" ht="15.75" thickBot="1" x14ac:dyDescent="0.3">
      <c r="A74" s="59" t="s">
        <v>3</v>
      </c>
      <c r="B74" s="59" t="s">
        <v>4</v>
      </c>
      <c r="C74" s="59" t="s">
        <v>7</v>
      </c>
      <c r="D74" s="59" t="s">
        <v>8</v>
      </c>
      <c r="E74" s="59" t="s">
        <v>5</v>
      </c>
      <c r="F74" s="63" t="s">
        <v>9</v>
      </c>
      <c r="G74" s="65"/>
      <c r="H74" s="63" t="s">
        <v>12</v>
      </c>
      <c r="I74" s="65"/>
      <c r="J74" s="60"/>
      <c r="K74" s="23"/>
      <c r="L74" s="23"/>
      <c r="M74" s="23"/>
    </row>
    <row r="75" spans="1:13" ht="34.5" thickBot="1" x14ac:dyDescent="0.3">
      <c r="A75" s="61"/>
      <c r="B75" s="61"/>
      <c r="C75" s="61"/>
      <c r="D75" s="61"/>
      <c r="E75" s="61"/>
      <c r="F75" s="29" t="s">
        <v>10</v>
      </c>
      <c r="G75" s="25" t="s">
        <v>11</v>
      </c>
      <c r="H75" s="25" t="s">
        <v>13</v>
      </c>
      <c r="I75" s="25" t="s">
        <v>14</v>
      </c>
      <c r="J75" s="61"/>
      <c r="K75" s="23"/>
      <c r="L75" s="23"/>
      <c r="M75" s="23"/>
    </row>
    <row r="76" spans="1:13" ht="15.75" thickBot="1" x14ac:dyDescent="0.3">
      <c r="A76" s="31" t="s">
        <v>76</v>
      </c>
      <c r="B76" s="24" t="s">
        <v>22</v>
      </c>
      <c r="C76" s="24" t="s">
        <v>64</v>
      </c>
      <c r="D76" s="24" t="s">
        <v>32</v>
      </c>
      <c r="E76" s="30">
        <v>5789.4736842105258</v>
      </c>
      <c r="F76" s="30">
        <v>5500</v>
      </c>
      <c r="G76" s="30">
        <v>0</v>
      </c>
      <c r="H76" s="30">
        <v>278.94736842105266</v>
      </c>
      <c r="I76" s="30">
        <v>10.526315789473687</v>
      </c>
      <c r="J76" s="30">
        <v>0</v>
      </c>
      <c r="K76" s="23"/>
      <c r="L76" s="23"/>
      <c r="M76" s="28"/>
    </row>
    <row r="77" spans="1:13" ht="15.75" thickBot="1" x14ac:dyDescent="0.3">
      <c r="A77" s="31" t="s">
        <v>77</v>
      </c>
      <c r="B77" s="24" t="s">
        <v>20</v>
      </c>
      <c r="C77" s="24" t="s">
        <v>21</v>
      </c>
      <c r="D77" s="24" t="s">
        <v>16</v>
      </c>
      <c r="E77" s="30">
        <v>2000</v>
      </c>
      <c r="F77" s="30">
        <v>1700</v>
      </c>
      <c r="G77" s="30">
        <v>140</v>
      </c>
      <c r="H77" s="30">
        <v>80</v>
      </c>
      <c r="I77" s="30">
        <v>80</v>
      </c>
      <c r="J77" s="30">
        <v>0</v>
      </c>
      <c r="K77" s="23"/>
      <c r="L77" s="23"/>
      <c r="M77" s="28"/>
    </row>
    <row r="78" spans="1:13" ht="15.75" thickBot="1" x14ac:dyDescent="0.3">
      <c r="A78" s="59" t="s">
        <v>78</v>
      </c>
      <c r="B78" s="59" t="s">
        <v>39</v>
      </c>
      <c r="C78" s="59" t="s">
        <v>66</v>
      </c>
      <c r="D78" s="24" t="s">
        <v>65</v>
      </c>
      <c r="E78" s="30">
        <v>6898.3333333333339</v>
      </c>
      <c r="F78" s="30">
        <v>2550.75</v>
      </c>
      <c r="G78" s="30">
        <v>850.25</v>
      </c>
      <c r="H78" s="30">
        <v>110</v>
      </c>
      <c r="I78" s="30">
        <v>3387.3333333333339</v>
      </c>
      <c r="J78" s="30">
        <v>0</v>
      </c>
      <c r="K78" s="23"/>
      <c r="L78" s="23"/>
      <c r="M78" s="28"/>
    </row>
    <row r="79" spans="1:13" ht="15.75" thickBot="1" x14ac:dyDescent="0.3">
      <c r="A79" s="61" t="s">
        <v>17</v>
      </c>
      <c r="B79" s="61" t="s">
        <v>39</v>
      </c>
      <c r="C79" s="61" t="s">
        <v>66</v>
      </c>
      <c r="D79" s="24" t="s">
        <v>67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23"/>
      <c r="L79" s="23"/>
      <c r="M79" s="28"/>
    </row>
    <row r="80" spans="1:13" ht="15.75" thickBot="1" x14ac:dyDescent="0.3">
      <c r="A80" s="59" t="s">
        <v>79</v>
      </c>
      <c r="B80" s="59" t="s">
        <v>22</v>
      </c>
      <c r="C80" s="59" t="s">
        <v>40</v>
      </c>
      <c r="D80" s="24" t="s">
        <v>37</v>
      </c>
      <c r="E80" s="30">
        <v>400</v>
      </c>
      <c r="F80" s="30">
        <v>340</v>
      </c>
      <c r="G80" s="30">
        <v>0</v>
      </c>
      <c r="H80" s="30">
        <v>36</v>
      </c>
      <c r="I80" s="30">
        <v>24</v>
      </c>
      <c r="J80" s="30">
        <v>0</v>
      </c>
      <c r="K80" s="23"/>
      <c r="L80" s="23"/>
      <c r="M80" s="28"/>
    </row>
    <row r="81" spans="1:13" ht="15.75" thickBot="1" x14ac:dyDescent="0.3">
      <c r="A81" s="61"/>
      <c r="B81" s="61"/>
      <c r="C81" s="61"/>
      <c r="D81" s="24" t="s">
        <v>38</v>
      </c>
      <c r="E81" s="30">
        <v>400</v>
      </c>
      <c r="F81" s="30">
        <v>340</v>
      </c>
      <c r="G81" s="30">
        <v>0</v>
      </c>
      <c r="H81" s="30">
        <v>36</v>
      </c>
      <c r="I81" s="30">
        <v>24</v>
      </c>
      <c r="J81" s="30">
        <v>0</v>
      </c>
      <c r="K81" s="23"/>
      <c r="L81" s="23"/>
      <c r="M81" s="28"/>
    </row>
    <row r="82" spans="1:13" ht="15.75" thickBot="1" x14ac:dyDescent="0.3">
      <c r="A82" s="31" t="s">
        <v>6</v>
      </c>
      <c r="B82" s="24"/>
      <c r="C82" s="24"/>
      <c r="D82" s="24"/>
      <c r="E82" s="30">
        <v>15487.807017543859</v>
      </c>
      <c r="F82" s="30">
        <v>10430.75</v>
      </c>
      <c r="G82" s="30">
        <v>990.25</v>
      </c>
      <c r="H82" s="30">
        <v>540.94736842105272</v>
      </c>
      <c r="I82" s="30">
        <v>3525.8596491228077</v>
      </c>
      <c r="J82" s="30">
        <v>0</v>
      </c>
      <c r="K82" s="23"/>
      <c r="L82" s="23"/>
      <c r="M82" s="28"/>
    </row>
    <row r="83" spans="1:13" x14ac:dyDescent="0.25">
      <c r="A83" s="26"/>
      <c r="B83" s="26"/>
      <c r="C83" s="26"/>
      <c r="D83" s="26"/>
      <c r="E83" s="32"/>
      <c r="F83" s="32"/>
      <c r="G83" s="32"/>
      <c r="H83" s="32"/>
      <c r="I83" s="32"/>
      <c r="J83" s="32"/>
      <c r="K83" s="23"/>
      <c r="L83" s="23"/>
      <c r="M83" s="28"/>
    </row>
    <row r="84" spans="1:13" x14ac:dyDescent="0.25">
      <c r="A84" s="27" t="s">
        <v>44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1:13" ht="15.75" thickBot="1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1:13" ht="15.75" thickBot="1" x14ac:dyDescent="0.3">
      <c r="A86" s="63" t="s">
        <v>1</v>
      </c>
      <c r="B86" s="64"/>
      <c r="C86" s="64"/>
      <c r="D86" s="65"/>
      <c r="E86" s="63" t="s">
        <v>27</v>
      </c>
      <c r="F86" s="64"/>
      <c r="G86" s="64"/>
      <c r="H86" s="64"/>
      <c r="I86" s="65"/>
      <c r="J86" s="59" t="s">
        <v>2</v>
      </c>
      <c r="K86" s="23"/>
      <c r="L86" s="23"/>
      <c r="M86" s="23"/>
    </row>
    <row r="87" spans="1:13" ht="15.75" thickBot="1" x14ac:dyDescent="0.3">
      <c r="A87" s="59" t="s">
        <v>3</v>
      </c>
      <c r="B87" s="59" t="s">
        <v>4</v>
      </c>
      <c r="C87" s="59" t="s">
        <v>7</v>
      </c>
      <c r="D87" s="59" t="s">
        <v>8</v>
      </c>
      <c r="E87" s="59" t="s">
        <v>5</v>
      </c>
      <c r="F87" s="63" t="s">
        <v>9</v>
      </c>
      <c r="G87" s="65"/>
      <c r="H87" s="63" t="s">
        <v>12</v>
      </c>
      <c r="I87" s="65"/>
      <c r="J87" s="60"/>
      <c r="K87" s="23"/>
      <c r="L87" s="23"/>
      <c r="M87" s="23"/>
    </row>
    <row r="88" spans="1:13" ht="34.5" thickBot="1" x14ac:dyDescent="0.3">
      <c r="A88" s="61"/>
      <c r="B88" s="61"/>
      <c r="C88" s="61"/>
      <c r="D88" s="61"/>
      <c r="E88" s="61"/>
      <c r="F88" s="29" t="s">
        <v>10</v>
      </c>
      <c r="G88" s="25" t="s">
        <v>11</v>
      </c>
      <c r="H88" s="25" t="s">
        <v>13</v>
      </c>
      <c r="I88" s="25" t="s">
        <v>14</v>
      </c>
      <c r="J88" s="61"/>
      <c r="K88" s="23"/>
      <c r="L88" s="23"/>
      <c r="M88" s="23"/>
    </row>
    <row r="89" spans="1:13" ht="15.75" thickBot="1" x14ac:dyDescent="0.3">
      <c r="A89" s="31" t="s">
        <v>76</v>
      </c>
      <c r="B89" s="24" t="s">
        <v>22</v>
      </c>
      <c r="C89" s="24" t="s">
        <v>64</v>
      </c>
      <c r="D89" s="24" t="s">
        <v>32</v>
      </c>
      <c r="E89" s="30">
        <v>6842.105263157895</v>
      </c>
      <c r="F89" s="30">
        <v>6500</v>
      </c>
      <c r="G89" s="30">
        <v>0</v>
      </c>
      <c r="H89" s="30">
        <v>321.0526315789474</v>
      </c>
      <c r="I89" s="30">
        <v>21.052631578947373</v>
      </c>
      <c r="J89" s="30">
        <v>0</v>
      </c>
      <c r="K89" s="23"/>
      <c r="L89" s="23"/>
      <c r="M89" s="28"/>
    </row>
    <row r="90" spans="1:13" ht="15.75" thickBot="1" x14ac:dyDescent="0.3">
      <c r="A90" s="31" t="s">
        <v>77</v>
      </c>
      <c r="B90" s="24" t="s">
        <v>20</v>
      </c>
      <c r="C90" s="24" t="s">
        <v>21</v>
      </c>
      <c r="D90" s="24" t="s">
        <v>16</v>
      </c>
      <c r="E90" s="30">
        <v>2600</v>
      </c>
      <c r="F90" s="30">
        <v>2210</v>
      </c>
      <c r="G90" s="30">
        <v>234</v>
      </c>
      <c r="H90" s="30">
        <v>28</v>
      </c>
      <c r="I90" s="30">
        <v>128</v>
      </c>
      <c r="J90" s="30">
        <v>0</v>
      </c>
      <c r="K90" s="23"/>
      <c r="L90" s="23"/>
      <c r="M90" s="28"/>
    </row>
    <row r="91" spans="1:13" ht="15.75" thickBot="1" x14ac:dyDescent="0.3">
      <c r="A91" s="59" t="s">
        <v>78</v>
      </c>
      <c r="B91" s="59" t="s">
        <v>39</v>
      </c>
      <c r="C91" s="59" t="s">
        <v>66</v>
      </c>
      <c r="D91" s="24" t="s">
        <v>65</v>
      </c>
      <c r="E91" s="30">
        <v>4583.3333333333339</v>
      </c>
      <c r="F91" s="30">
        <v>1650</v>
      </c>
      <c r="G91" s="30">
        <v>550</v>
      </c>
      <c r="H91" s="30">
        <v>0</v>
      </c>
      <c r="I91" s="30">
        <v>2383.3333333333339</v>
      </c>
      <c r="J91" s="30">
        <v>0</v>
      </c>
      <c r="K91" s="23"/>
      <c r="L91" s="23"/>
      <c r="M91" s="28"/>
    </row>
    <row r="92" spans="1:13" ht="15.75" thickBot="1" x14ac:dyDescent="0.3">
      <c r="A92" s="61" t="s">
        <v>17</v>
      </c>
      <c r="B92" s="61" t="s">
        <v>39</v>
      </c>
      <c r="C92" s="61" t="s">
        <v>66</v>
      </c>
      <c r="D92" s="24" t="s">
        <v>67</v>
      </c>
      <c r="E92" s="30">
        <v>750</v>
      </c>
      <c r="F92" s="30">
        <v>450</v>
      </c>
      <c r="G92" s="30">
        <v>150</v>
      </c>
      <c r="H92" s="30">
        <v>0</v>
      </c>
      <c r="I92" s="30">
        <v>150</v>
      </c>
      <c r="J92" s="30">
        <v>0</v>
      </c>
      <c r="K92" s="23"/>
      <c r="L92" s="23"/>
      <c r="M92" s="28"/>
    </row>
    <row r="93" spans="1:13" ht="15.75" thickBot="1" x14ac:dyDescent="0.3">
      <c r="A93" s="59" t="s">
        <v>79</v>
      </c>
      <c r="B93" s="59" t="s">
        <v>22</v>
      </c>
      <c r="C93" s="59" t="s">
        <v>40</v>
      </c>
      <c r="D93" s="24" t="s">
        <v>37</v>
      </c>
      <c r="E93" s="30">
        <v>388.23529411764707</v>
      </c>
      <c r="F93" s="30">
        <v>330</v>
      </c>
      <c r="G93" s="30">
        <v>0</v>
      </c>
      <c r="H93" s="30">
        <v>34.941176470588232</v>
      </c>
      <c r="I93" s="30">
        <v>23.294117647058822</v>
      </c>
      <c r="J93" s="30">
        <v>0</v>
      </c>
      <c r="K93" s="23"/>
      <c r="L93" s="23"/>
      <c r="M93" s="28"/>
    </row>
    <row r="94" spans="1:13" ht="15.75" thickBot="1" x14ac:dyDescent="0.3">
      <c r="A94" s="61"/>
      <c r="B94" s="61"/>
      <c r="C94" s="61"/>
      <c r="D94" s="24" t="s">
        <v>38</v>
      </c>
      <c r="E94" s="30">
        <v>388.23529411764707</v>
      </c>
      <c r="F94" s="30">
        <v>330</v>
      </c>
      <c r="G94" s="30">
        <v>0</v>
      </c>
      <c r="H94" s="30">
        <v>34.941176470588232</v>
      </c>
      <c r="I94" s="30">
        <v>23.294117647058822</v>
      </c>
      <c r="J94" s="30">
        <v>0</v>
      </c>
      <c r="K94" s="23"/>
      <c r="L94" s="23"/>
      <c r="M94" s="28"/>
    </row>
    <row r="95" spans="1:13" ht="15.75" thickBot="1" x14ac:dyDescent="0.3">
      <c r="A95" s="31" t="s">
        <v>6</v>
      </c>
      <c r="B95" s="24"/>
      <c r="C95" s="24"/>
      <c r="D95" s="24"/>
      <c r="E95" s="30">
        <v>15551.909184726523</v>
      </c>
      <c r="F95" s="30">
        <v>11470</v>
      </c>
      <c r="G95" s="30">
        <v>934</v>
      </c>
      <c r="H95" s="30">
        <v>418.93498452012386</v>
      </c>
      <c r="I95" s="30">
        <v>2728.9742002063995</v>
      </c>
      <c r="J95" s="30">
        <v>0</v>
      </c>
      <c r="K95" s="23"/>
      <c r="L95" s="23"/>
      <c r="M95" s="28"/>
    </row>
    <row r="96" spans="1:13" x14ac:dyDescent="0.25">
      <c r="A96" s="26"/>
      <c r="B96" s="26"/>
      <c r="C96" s="26"/>
      <c r="D96" s="26"/>
      <c r="E96" s="32"/>
      <c r="F96" s="32"/>
      <c r="G96" s="32"/>
      <c r="H96" s="32"/>
      <c r="I96" s="32"/>
      <c r="J96" s="32"/>
      <c r="K96" s="23"/>
      <c r="L96" s="23"/>
      <c r="M96" s="28"/>
    </row>
    <row r="97" spans="1:13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7" t="s">
        <v>45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</row>
    <row r="99" spans="1:13" ht="15.75" thickBot="1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</row>
    <row r="100" spans="1:13" ht="15.75" thickBot="1" x14ac:dyDescent="0.3">
      <c r="A100" s="63" t="s">
        <v>1</v>
      </c>
      <c r="B100" s="64"/>
      <c r="C100" s="64"/>
      <c r="D100" s="65"/>
      <c r="E100" s="63" t="s">
        <v>27</v>
      </c>
      <c r="F100" s="64"/>
      <c r="G100" s="64"/>
      <c r="H100" s="64"/>
      <c r="I100" s="65"/>
      <c r="J100" s="59" t="s">
        <v>2</v>
      </c>
      <c r="K100" s="23"/>
      <c r="L100" s="23"/>
      <c r="M100" s="23"/>
    </row>
    <row r="101" spans="1:13" ht="15.75" thickBot="1" x14ac:dyDescent="0.3">
      <c r="A101" s="59" t="s">
        <v>3</v>
      </c>
      <c r="B101" s="59" t="s">
        <v>4</v>
      </c>
      <c r="C101" s="59" t="s">
        <v>7</v>
      </c>
      <c r="D101" s="59" t="s">
        <v>8</v>
      </c>
      <c r="E101" s="59" t="s">
        <v>5</v>
      </c>
      <c r="F101" s="63" t="s">
        <v>9</v>
      </c>
      <c r="G101" s="65"/>
      <c r="H101" s="63" t="s">
        <v>12</v>
      </c>
      <c r="I101" s="65"/>
      <c r="J101" s="60"/>
      <c r="K101" s="23"/>
      <c r="L101" s="23"/>
      <c r="M101" s="23"/>
    </row>
    <row r="102" spans="1:13" ht="34.5" thickBot="1" x14ac:dyDescent="0.3">
      <c r="A102" s="61"/>
      <c r="B102" s="61"/>
      <c r="C102" s="61"/>
      <c r="D102" s="61"/>
      <c r="E102" s="61"/>
      <c r="F102" s="29" t="s">
        <v>10</v>
      </c>
      <c r="G102" s="25" t="s">
        <v>11</v>
      </c>
      <c r="H102" s="25" t="s">
        <v>13</v>
      </c>
      <c r="I102" s="25" t="s">
        <v>14</v>
      </c>
      <c r="J102" s="61"/>
      <c r="K102" s="23"/>
      <c r="L102" s="23"/>
      <c r="M102" s="23"/>
    </row>
    <row r="103" spans="1:13" ht="15.75" thickBot="1" x14ac:dyDescent="0.3">
      <c r="A103" s="31" t="s">
        <v>76</v>
      </c>
      <c r="B103" s="24" t="s">
        <v>22</v>
      </c>
      <c r="C103" s="24" t="s">
        <v>64</v>
      </c>
      <c r="D103" s="24" t="s">
        <v>32</v>
      </c>
      <c r="E103" s="30">
        <v>3684.2105263157891</v>
      </c>
      <c r="F103" s="30">
        <v>3500</v>
      </c>
      <c r="G103" s="30">
        <v>0</v>
      </c>
      <c r="H103" s="30">
        <v>173.68421052631581</v>
      </c>
      <c r="I103" s="30">
        <v>10.526315789473687</v>
      </c>
      <c r="J103" s="30">
        <v>0</v>
      </c>
      <c r="K103" s="23"/>
      <c r="L103" s="23"/>
      <c r="M103" s="28"/>
    </row>
    <row r="104" spans="1:13" ht="15.75" thickBot="1" x14ac:dyDescent="0.3">
      <c r="A104" s="31" t="s">
        <v>77</v>
      </c>
      <c r="B104" s="24" t="s">
        <v>20</v>
      </c>
      <c r="C104" s="24" t="s">
        <v>21</v>
      </c>
      <c r="D104" s="24" t="s">
        <v>16</v>
      </c>
      <c r="E104" s="30">
        <v>600</v>
      </c>
      <c r="F104" s="30">
        <v>510</v>
      </c>
      <c r="G104" s="30">
        <v>66</v>
      </c>
      <c r="H104" s="30">
        <v>12</v>
      </c>
      <c r="I104" s="30">
        <v>12</v>
      </c>
      <c r="J104" s="30">
        <v>0</v>
      </c>
      <c r="K104" s="23"/>
      <c r="L104" s="23"/>
      <c r="M104" s="28"/>
    </row>
    <row r="105" spans="1:13" ht="15.75" thickBot="1" x14ac:dyDescent="0.3">
      <c r="A105" s="59" t="s">
        <v>78</v>
      </c>
      <c r="B105" s="59" t="s">
        <v>39</v>
      </c>
      <c r="C105" s="59" t="s">
        <v>66</v>
      </c>
      <c r="D105" s="24" t="s">
        <v>65</v>
      </c>
      <c r="E105" s="30">
        <v>10522.058823529413</v>
      </c>
      <c r="F105" s="30">
        <v>3393.75</v>
      </c>
      <c r="G105" s="30">
        <v>1131.25</v>
      </c>
      <c r="H105" s="30">
        <v>0</v>
      </c>
      <c r="I105" s="30">
        <v>5997.0588235294117</v>
      </c>
      <c r="J105" s="30">
        <v>0</v>
      </c>
      <c r="K105" s="23"/>
      <c r="L105" s="23"/>
      <c r="M105" s="28"/>
    </row>
    <row r="106" spans="1:13" ht="15.75" thickBot="1" x14ac:dyDescent="0.3">
      <c r="A106" s="61" t="s">
        <v>17</v>
      </c>
      <c r="B106" s="61" t="s">
        <v>39</v>
      </c>
      <c r="C106" s="61" t="s">
        <v>66</v>
      </c>
      <c r="D106" s="24" t="s">
        <v>67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23"/>
      <c r="L106" s="23"/>
      <c r="M106" s="28"/>
    </row>
    <row r="107" spans="1:13" ht="15.75" thickBot="1" x14ac:dyDescent="0.3">
      <c r="A107" s="59" t="s">
        <v>79</v>
      </c>
      <c r="B107" s="59" t="s">
        <v>22</v>
      </c>
      <c r="C107" s="59" t="s">
        <v>40</v>
      </c>
      <c r="D107" s="24" t="s">
        <v>37</v>
      </c>
      <c r="E107" s="30">
        <v>388.23529411764707</v>
      </c>
      <c r="F107" s="30">
        <v>330</v>
      </c>
      <c r="G107" s="30">
        <v>0</v>
      </c>
      <c r="H107" s="30">
        <v>34.941176470588232</v>
      </c>
      <c r="I107" s="30">
        <v>23.294117647058822</v>
      </c>
      <c r="J107" s="30">
        <v>0</v>
      </c>
      <c r="K107" s="23"/>
      <c r="L107" s="23"/>
      <c r="M107" s="28"/>
    </row>
    <row r="108" spans="1:13" ht="15.75" thickBot="1" x14ac:dyDescent="0.3">
      <c r="A108" s="61"/>
      <c r="B108" s="61"/>
      <c r="C108" s="61"/>
      <c r="D108" s="24" t="s">
        <v>38</v>
      </c>
      <c r="E108" s="30">
        <v>388.23529411764707</v>
      </c>
      <c r="F108" s="30">
        <v>330</v>
      </c>
      <c r="G108" s="30">
        <v>0</v>
      </c>
      <c r="H108" s="30">
        <v>34.941176470588232</v>
      </c>
      <c r="I108" s="30">
        <v>23.294117647058822</v>
      </c>
      <c r="J108" s="30">
        <v>0</v>
      </c>
      <c r="K108" s="23"/>
      <c r="L108" s="23"/>
      <c r="M108" s="28"/>
    </row>
    <row r="109" spans="1:13" ht="15.75" thickBot="1" x14ac:dyDescent="0.3">
      <c r="A109" s="31" t="s">
        <v>6</v>
      </c>
      <c r="B109" s="24"/>
      <c r="C109" s="24"/>
      <c r="D109" s="24"/>
      <c r="E109" s="30">
        <v>15582.739938080496</v>
      </c>
      <c r="F109" s="30">
        <v>8063.75</v>
      </c>
      <c r="G109" s="30">
        <v>1197.25</v>
      </c>
      <c r="H109" s="30">
        <v>255.56656346749227</v>
      </c>
      <c r="I109" s="30">
        <v>6066.1733746130021</v>
      </c>
      <c r="J109" s="30">
        <v>0</v>
      </c>
      <c r="K109" s="23"/>
      <c r="L109" s="23"/>
      <c r="M109" s="28"/>
    </row>
    <row r="110" spans="1:13" x14ac:dyDescent="0.25">
      <c r="A110" s="26"/>
      <c r="B110" s="26"/>
      <c r="C110" s="26"/>
      <c r="D110" s="26"/>
      <c r="E110" s="32"/>
      <c r="F110" s="32"/>
      <c r="G110" s="32"/>
      <c r="H110" s="32"/>
      <c r="I110" s="32"/>
      <c r="J110" s="32"/>
      <c r="K110" s="23"/>
      <c r="L110" s="23"/>
      <c r="M110" s="28"/>
    </row>
    <row r="111" spans="1:13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7" t="s">
        <v>46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</row>
    <row r="113" spans="1:13" ht="15.75" thickBot="1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</row>
    <row r="114" spans="1:13" ht="15.75" thickBot="1" x14ac:dyDescent="0.3">
      <c r="A114" s="63" t="s">
        <v>1</v>
      </c>
      <c r="B114" s="64"/>
      <c r="C114" s="64"/>
      <c r="D114" s="65"/>
      <c r="E114" s="63" t="s">
        <v>27</v>
      </c>
      <c r="F114" s="64"/>
      <c r="G114" s="64"/>
      <c r="H114" s="64"/>
      <c r="I114" s="65"/>
      <c r="J114" s="59" t="s">
        <v>2</v>
      </c>
      <c r="K114" s="23"/>
      <c r="L114" s="23"/>
      <c r="M114" s="23"/>
    </row>
    <row r="115" spans="1:13" ht="15.75" thickBot="1" x14ac:dyDescent="0.3">
      <c r="A115" s="59" t="s">
        <v>3</v>
      </c>
      <c r="B115" s="59" t="s">
        <v>4</v>
      </c>
      <c r="C115" s="59" t="s">
        <v>7</v>
      </c>
      <c r="D115" s="59" t="s">
        <v>8</v>
      </c>
      <c r="E115" s="59" t="s">
        <v>5</v>
      </c>
      <c r="F115" s="63" t="s">
        <v>9</v>
      </c>
      <c r="G115" s="65"/>
      <c r="H115" s="63" t="s">
        <v>12</v>
      </c>
      <c r="I115" s="65"/>
      <c r="J115" s="60"/>
      <c r="K115" s="23"/>
      <c r="L115" s="23"/>
      <c r="M115" s="23"/>
    </row>
    <row r="116" spans="1:13" ht="34.5" thickBot="1" x14ac:dyDescent="0.3">
      <c r="A116" s="61"/>
      <c r="B116" s="61"/>
      <c r="C116" s="61"/>
      <c r="D116" s="61"/>
      <c r="E116" s="61"/>
      <c r="F116" s="29" t="s">
        <v>10</v>
      </c>
      <c r="G116" s="25" t="s">
        <v>11</v>
      </c>
      <c r="H116" s="25" t="s">
        <v>13</v>
      </c>
      <c r="I116" s="25" t="s">
        <v>14</v>
      </c>
      <c r="J116" s="61"/>
      <c r="K116" s="23"/>
      <c r="L116" s="23"/>
      <c r="M116" s="23"/>
    </row>
    <row r="117" spans="1:13" ht="15.75" thickBot="1" x14ac:dyDescent="0.3">
      <c r="A117" s="31" t="s">
        <v>76</v>
      </c>
      <c r="B117" s="24" t="s">
        <v>22</v>
      </c>
      <c r="C117" s="24" t="s">
        <v>64</v>
      </c>
      <c r="D117" s="24" t="s">
        <v>32</v>
      </c>
      <c r="E117" s="30">
        <v>5263.1578947368416</v>
      </c>
      <c r="F117" s="30">
        <v>5000</v>
      </c>
      <c r="G117" s="30">
        <v>0</v>
      </c>
      <c r="H117" s="30">
        <v>242.10526315789474</v>
      </c>
      <c r="I117" s="30">
        <v>21.052631578947373</v>
      </c>
      <c r="J117" s="30">
        <v>0</v>
      </c>
      <c r="K117" s="23"/>
      <c r="L117" s="23"/>
      <c r="M117" s="28"/>
    </row>
    <row r="118" spans="1:13" ht="15.75" thickBot="1" x14ac:dyDescent="0.3">
      <c r="A118" s="31" t="s">
        <v>77</v>
      </c>
      <c r="B118" s="24" t="s">
        <v>20</v>
      </c>
      <c r="C118" s="24" t="s">
        <v>21</v>
      </c>
      <c r="D118" s="24" t="s">
        <v>16</v>
      </c>
      <c r="E118" s="30">
        <v>860</v>
      </c>
      <c r="F118" s="30">
        <v>731</v>
      </c>
      <c r="G118" s="30">
        <v>94.6</v>
      </c>
      <c r="H118" s="30">
        <v>17.2</v>
      </c>
      <c r="I118" s="30">
        <v>17.2</v>
      </c>
      <c r="J118" s="30">
        <v>0</v>
      </c>
      <c r="K118" s="23"/>
      <c r="L118" s="23"/>
      <c r="M118" s="28"/>
    </row>
    <row r="119" spans="1:13" ht="15.75" thickBot="1" x14ac:dyDescent="0.3">
      <c r="A119" s="59" t="s">
        <v>78</v>
      </c>
      <c r="B119" s="59" t="s">
        <v>39</v>
      </c>
      <c r="C119" s="59" t="s">
        <v>66</v>
      </c>
      <c r="D119" s="24" t="s">
        <v>65</v>
      </c>
      <c r="E119" s="30">
        <v>5625</v>
      </c>
      <c r="F119" s="30">
        <v>1968.75</v>
      </c>
      <c r="G119" s="30">
        <v>656.25</v>
      </c>
      <c r="H119" s="30">
        <v>0</v>
      </c>
      <c r="I119" s="30">
        <v>3000</v>
      </c>
      <c r="J119" s="30">
        <v>0</v>
      </c>
      <c r="K119" s="23"/>
      <c r="L119" s="23"/>
      <c r="M119" s="28"/>
    </row>
    <row r="120" spans="1:13" ht="15.75" thickBot="1" x14ac:dyDescent="0.3">
      <c r="A120" s="61" t="s">
        <v>17</v>
      </c>
      <c r="B120" s="61" t="s">
        <v>39</v>
      </c>
      <c r="C120" s="61" t="s">
        <v>66</v>
      </c>
      <c r="D120" s="24" t="s">
        <v>67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23"/>
      <c r="L120" s="23"/>
      <c r="M120" s="28"/>
    </row>
    <row r="121" spans="1:13" ht="15.75" thickBot="1" x14ac:dyDescent="0.3">
      <c r="A121" s="59" t="s">
        <v>79</v>
      </c>
      <c r="B121" s="59" t="s">
        <v>22</v>
      </c>
      <c r="C121" s="59" t="s">
        <v>40</v>
      </c>
      <c r="D121" s="24" t="s">
        <v>37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23"/>
      <c r="L121" s="23"/>
      <c r="M121" s="28"/>
    </row>
    <row r="122" spans="1:13" ht="15.75" thickBot="1" x14ac:dyDescent="0.3">
      <c r="A122" s="61"/>
      <c r="B122" s="61"/>
      <c r="C122" s="61"/>
      <c r="D122" s="24" t="s">
        <v>38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23"/>
      <c r="L122" s="23"/>
      <c r="M122" s="28"/>
    </row>
    <row r="123" spans="1:13" ht="15.75" thickBot="1" x14ac:dyDescent="0.3">
      <c r="A123" s="31" t="s">
        <v>6</v>
      </c>
      <c r="B123" s="24"/>
      <c r="C123" s="24"/>
      <c r="D123" s="24"/>
      <c r="E123" s="30">
        <v>11748.157894736842</v>
      </c>
      <c r="F123" s="30">
        <v>7699.75</v>
      </c>
      <c r="G123" s="30">
        <v>750.85</v>
      </c>
      <c r="H123" s="30">
        <v>259.30526315789473</v>
      </c>
      <c r="I123" s="30">
        <v>3038.2526315789473</v>
      </c>
      <c r="J123" s="30">
        <v>0</v>
      </c>
      <c r="K123" s="23"/>
      <c r="L123" s="23"/>
      <c r="M123" s="28"/>
    </row>
    <row r="124" spans="1:13" x14ac:dyDescent="0.25">
      <c r="A124" s="26"/>
      <c r="B124" s="26"/>
      <c r="C124" s="26"/>
      <c r="D124" s="26"/>
      <c r="E124" s="32"/>
      <c r="F124" s="32"/>
      <c r="G124" s="32"/>
      <c r="H124" s="32"/>
      <c r="I124" s="32"/>
      <c r="J124" s="32"/>
      <c r="K124" s="23"/>
      <c r="L124" s="23"/>
      <c r="M124" s="28"/>
    </row>
    <row r="125" spans="1:13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</row>
  </sheetData>
  <mergeCells count="145">
    <mergeCell ref="A14:J14"/>
    <mergeCell ref="E114:I114"/>
    <mergeCell ref="J114:J116"/>
    <mergeCell ref="A115:A116"/>
    <mergeCell ref="B115:B116"/>
    <mergeCell ref="C115:C116"/>
    <mergeCell ref="D115:D116"/>
    <mergeCell ref="E115:E116"/>
    <mergeCell ref="F115:G115"/>
    <mergeCell ref="H115:I115"/>
    <mergeCell ref="E100:I100"/>
    <mergeCell ref="J100:J102"/>
    <mergeCell ref="A101:A102"/>
    <mergeCell ref="B101:B102"/>
    <mergeCell ref="C101:C102"/>
    <mergeCell ref="D101:D102"/>
    <mergeCell ref="E101:E102"/>
    <mergeCell ref="F101:G101"/>
    <mergeCell ref="H101:I101"/>
    <mergeCell ref="E86:I86"/>
    <mergeCell ref="J86:J88"/>
    <mergeCell ref="A87:A88"/>
    <mergeCell ref="B87:B88"/>
    <mergeCell ref="C87:C88"/>
    <mergeCell ref="E87:E88"/>
    <mergeCell ref="F87:G87"/>
    <mergeCell ref="H87:I87"/>
    <mergeCell ref="E73:I73"/>
    <mergeCell ref="J73:J75"/>
    <mergeCell ref="A74:A75"/>
    <mergeCell ref="B74:B75"/>
    <mergeCell ref="C74:C75"/>
    <mergeCell ref="D74:D75"/>
    <mergeCell ref="E74:E75"/>
    <mergeCell ref="F74:G74"/>
    <mergeCell ref="H74:I74"/>
    <mergeCell ref="E59:I59"/>
    <mergeCell ref="J59:J61"/>
    <mergeCell ref="A60:A61"/>
    <mergeCell ref="B60:B61"/>
    <mergeCell ref="C60:C61"/>
    <mergeCell ref="D60:D61"/>
    <mergeCell ref="E60:E61"/>
    <mergeCell ref="F60:G60"/>
    <mergeCell ref="H60:I60"/>
    <mergeCell ref="E45:I45"/>
    <mergeCell ref="J45:J47"/>
    <mergeCell ref="A46:A47"/>
    <mergeCell ref="B46:B47"/>
    <mergeCell ref="C46:C47"/>
    <mergeCell ref="D46:D47"/>
    <mergeCell ref="E46:E47"/>
    <mergeCell ref="F46:G46"/>
    <mergeCell ref="H46:I46"/>
    <mergeCell ref="H19:I19"/>
    <mergeCell ref="A32:D32"/>
    <mergeCell ref="E32:I32"/>
    <mergeCell ref="J32:J34"/>
    <mergeCell ref="A33:A34"/>
    <mergeCell ref="B33:B34"/>
    <mergeCell ref="C33:C34"/>
    <mergeCell ref="D33:D34"/>
    <mergeCell ref="E33:E34"/>
    <mergeCell ref="F33:G33"/>
    <mergeCell ref="H33:I33"/>
    <mergeCell ref="A19:A20"/>
    <mergeCell ref="B19:B20"/>
    <mergeCell ref="C19:C20"/>
    <mergeCell ref="D19:D20"/>
    <mergeCell ref="C8:C9"/>
    <mergeCell ref="A10:A11"/>
    <mergeCell ref="B10:B11"/>
    <mergeCell ref="C10:C11"/>
    <mergeCell ref="A23:A24"/>
    <mergeCell ref="B23:B24"/>
    <mergeCell ref="C23:C24"/>
    <mergeCell ref="E19:E20"/>
    <mergeCell ref="J3:J5"/>
    <mergeCell ref="A4:A5"/>
    <mergeCell ref="B4:B5"/>
    <mergeCell ref="C4:C5"/>
    <mergeCell ref="D4:D5"/>
    <mergeCell ref="A3:D3"/>
    <mergeCell ref="E3:I3"/>
    <mergeCell ref="E4:E5"/>
    <mergeCell ref="F4:G4"/>
    <mergeCell ref="H4:I4"/>
    <mergeCell ref="A18:D18"/>
    <mergeCell ref="E18:I18"/>
    <mergeCell ref="J18:J20"/>
    <mergeCell ref="A8:A9"/>
    <mergeCell ref="B8:B9"/>
    <mergeCell ref="F19:G19"/>
    <mergeCell ref="A39:A40"/>
    <mergeCell ref="B39:B40"/>
    <mergeCell ref="C39:C40"/>
    <mergeCell ref="B50:B51"/>
    <mergeCell ref="C50:C51"/>
    <mergeCell ref="A25:A26"/>
    <mergeCell ref="B25:B26"/>
    <mergeCell ref="C25:C26"/>
    <mergeCell ref="A37:A38"/>
    <mergeCell ref="B37:B38"/>
    <mergeCell ref="C37:C38"/>
    <mergeCell ref="A45:D45"/>
    <mergeCell ref="A66:A67"/>
    <mergeCell ref="B66:B67"/>
    <mergeCell ref="C66:C67"/>
    <mergeCell ref="A78:A79"/>
    <mergeCell ref="B78:B79"/>
    <mergeCell ref="C78:C79"/>
    <mergeCell ref="B52:B53"/>
    <mergeCell ref="C52:C53"/>
    <mergeCell ref="A50:A51"/>
    <mergeCell ref="A52:A53"/>
    <mergeCell ref="A64:A65"/>
    <mergeCell ref="B64:B65"/>
    <mergeCell ref="C64:C65"/>
    <mergeCell ref="A59:D59"/>
    <mergeCell ref="A73:D73"/>
    <mergeCell ref="A93:A94"/>
    <mergeCell ref="B93:B94"/>
    <mergeCell ref="C93:C94"/>
    <mergeCell ref="A105:A106"/>
    <mergeCell ref="B105:B106"/>
    <mergeCell ref="C105:C106"/>
    <mergeCell ref="A80:A81"/>
    <mergeCell ref="B80:B81"/>
    <mergeCell ref="C80:C81"/>
    <mergeCell ref="A91:A92"/>
    <mergeCell ref="B91:B92"/>
    <mergeCell ref="C91:C92"/>
    <mergeCell ref="A86:D86"/>
    <mergeCell ref="A100:D100"/>
    <mergeCell ref="D87:D88"/>
    <mergeCell ref="A121:A122"/>
    <mergeCell ref="B121:B122"/>
    <mergeCell ref="C121:C122"/>
    <mergeCell ref="A107:A108"/>
    <mergeCell ref="B107:B108"/>
    <mergeCell ref="C107:C108"/>
    <mergeCell ref="A119:A120"/>
    <mergeCell ref="B119:B120"/>
    <mergeCell ref="C119:C120"/>
    <mergeCell ref="A114:D1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abSelected="1" workbookViewId="0">
      <selection activeCell="H8" sqref="H8"/>
    </sheetView>
  </sheetViews>
  <sheetFormatPr defaultColWidth="8.85546875" defaultRowHeight="15" x14ac:dyDescent="0.25"/>
  <cols>
    <col min="1" max="1" width="13.28515625" style="35" customWidth="1"/>
    <col min="2" max="2" width="11.28515625" style="35" customWidth="1"/>
    <col min="3" max="3" width="6.28515625" style="35" customWidth="1"/>
    <col min="4" max="6" width="7.42578125" style="35" customWidth="1"/>
    <col min="7" max="7" width="7.5703125" style="47" customWidth="1"/>
    <col min="8" max="8" width="21.7109375" style="35" customWidth="1"/>
    <col min="9" max="9" width="7.28515625" style="47" customWidth="1"/>
    <col min="10" max="10" width="8.28515625" style="47" customWidth="1"/>
    <col min="11" max="12" width="8.7109375" style="47" customWidth="1"/>
    <col min="13" max="13" width="8.5703125" style="47" customWidth="1"/>
    <col min="14" max="14" width="9" style="47" customWidth="1"/>
    <col min="15" max="15" width="14.140625" style="35" customWidth="1"/>
    <col min="16" max="16384" width="8.85546875" style="35"/>
  </cols>
  <sheetData>
    <row r="1" spans="1:15" x14ac:dyDescent="0.25">
      <c r="A1" s="39" t="s">
        <v>81</v>
      </c>
      <c r="B1" s="40"/>
      <c r="C1" s="40"/>
      <c r="D1" s="40"/>
      <c r="E1" s="40"/>
      <c r="F1" s="40"/>
      <c r="G1" s="46"/>
      <c r="H1" s="40"/>
      <c r="I1" s="46"/>
      <c r="J1" s="46"/>
      <c r="K1" s="46"/>
      <c r="L1" s="46"/>
      <c r="M1" s="46"/>
    </row>
    <row r="2" spans="1:15" ht="9.7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6" t="s">
        <v>1</v>
      </c>
      <c r="D3" s="71"/>
      <c r="E3" s="71"/>
      <c r="F3" s="67"/>
      <c r="G3" s="63" t="s">
        <v>82</v>
      </c>
      <c r="H3" s="64"/>
      <c r="I3" s="64"/>
      <c r="J3" s="65"/>
      <c r="K3" s="63" t="s">
        <v>83</v>
      </c>
      <c r="L3" s="64"/>
      <c r="M3" s="64"/>
      <c r="N3" s="65"/>
      <c r="O3" s="59" t="s">
        <v>84</v>
      </c>
    </row>
    <row r="4" spans="1:15" ht="19.5" customHeight="1" x14ac:dyDescent="0.25">
      <c r="A4" s="60"/>
      <c r="B4" s="60"/>
      <c r="C4" s="60" t="s">
        <v>3</v>
      </c>
      <c r="D4" s="60" t="s">
        <v>4</v>
      </c>
      <c r="E4" s="60" t="s">
        <v>7</v>
      </c>
      <c r="F4" s="60" t="s">
        <v>8</v>
      </c>
      <c r="G4" s="59" t="s">
        <v>85</v>
      </c>
      <c r="H4" s="59" t="s">
        <v>86</v>
      </c>
      <c r="I4" s="59" t="s">
        <v>87</v>
      </c>
      <c r="J4" s="59" t="s">
        <v>88</v>
      </c>
      <c r="K4" s="59" t="s">
        <v>89</v>
      </c>
      <c r="L4" s="59" t="s">
        <v>90</v>
      </c>
      <c r="M4" s="59" t="s">
        <v>91</v>
      </c>
      <c r="N4" s="59" t="s">
        <v>92</v>
      </c>
      <c r="O4" s="60"/>
    </row>
    <row r="5" spans="1:15" ht="24" customHeight="1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36" customHeight="1" thickBot="1" x14ac:dyDescent="0.3">
      <c r="A6" s="56" t="s">
        <v>50</v>
      </c>
      <c r="B6" s="56" t="s">
        <v>49</v>
      </c>
      <c r="C6" s="36" t="s">
        <v>15</v>
      </c>
      <c r="D6" s="36" t="s">
        <v>22</v>
      </c>
      <c r="E6" s="36" t="s">
        <v>64</v>
      </c>
      <c r="F6" s="36" t="s">
        <v>32</v>
      </c>
      <c r="G6" s="45" t="s">
        <v>93</v>
      </c>
      <c r="H6" s="42" t="s">
        <v>94</v>
      </c>
      <c r="I6" s="45" t="s">
        <v>95</v>
      </c>
      <c r="J6" s="45" t="s">
        <v>96</v>
      </c>
      <c r="K6" s="45">
        <v>30</v>
      </c>
      <c r="L6" s="44">
        <v>40908</v>
      </c>
      <c r="M6" s="45">
        <v>35</v>
      </c>
      <c r="N6" s="44">
        <v>45291</v>
      </c>
      <c r="O6" s="41" t="s">
        <v>97</v>
      </c>
    </row>
    <row r="7" spans="1:15" ht="32.25" customHeight="1" thickBot="1" x14ac:dyDescent="0.3">
      <c r="A7" s="62"/>
      <c r="B7" s="62"/>
      <c r="C7" s="36" t="s">
        <v>15</v>
      </c>
      <c r="D7" s="36" t="s">
        <v>22</v>
      </c>
      <c r="E7" s="36" t="s">
        <v>64</v>
      </c>
      <c r="F7" s="36" t="s">
        <v>32</v>
      </c>
      <c r="G7" s="45" t="s">
        <v>98</v>
      </c>
      <c r="H7" s="42" t="s">
        <v>99</v>
      </c>
      <c r="I7" s="45" t="s">
        <v>100</v>
      </c>
      <c r="J7" s="45" t="s">
        <v>101</v>
      </c>
      <c r="K7" s="45">
        <v>0</v>
      </c>
      <c r="L7" s="44">
        <v>42370</v>
      </c>
      <c r="M7" s="45">
        <v>5</v>
      </c>
      <c r="N7" s="44">
        <v>45291</v>
      </c>
      <c r="O7" s="41" t="s">
        <v>102</v>
      </c>
    </row>
    <row r="8" spans="1:15" ht="33" customHeight="1" thickBot="1" x14ac:dyDescent="0.3">
      <c r="A8" s="62"/>
      <c r="B8" s="62"/>
      <c r="C8" s="36" t="s">
        <v>15</v>
      </c>
      <c r="D8" s="36" t="s">
        <v>22</v>
      </c>
      <c r="E8" s="36" t="s">
        <v>64</v>
      </c>
      <c r="F8" s="36" t="s">
        <v>32</v>
      </c>
      <c r="G8" s="45" t="s">
        <v>103</v>
      </c>
      <c r="H8" s="42" t="s">
        <v>104</v>
      </c>
      <c r="I8" s="45" t="s">
        <v>95</v>
      </c>
      <c r="J8" s="45" t="s">
        <v>96</v>
      </c>
      <c r="K8" s="45">
        <v>7</v>
      </c>
      <c r="L8" s="44">
        <v>40908</v>
      </c>
      <c r="M8" s="45">
        <v>10</v>
      </c>
      <c r="N8" s="44">
        <v>45291</v>
      </c>
      <c r="O8" s="41" t="s">
        <v>97</v>
      </c>
    </row>
    <row r="9" spans="1:15" ht="31.5" customHeight="1" thickBot="1" x14ac:dyDescent="0.3">
      <c r="A9" s="62"/>
      <c r="B9" s="62"/>
      <c r="C9" s="36" t="s">
        <v>15</v>
      </c>
      <c r="D9" s="36" t="s">
        <v>22</v>
      </c>
      <c r="E9" s="36" t="s">
        <v>64</v>
      </c>
      <c r="F9" s="36" t="s">
        <v>32</v>
      </c>
      <c r="G9" s="45" t="s">
        <v>105</v>
      </c>
      <c r="H9" s="42" t="s">
        <v>106</v>
      </c>
      <c r="I9" s="45" t="s">
        <v>107</v>
      </c>
      <c r="J9" s="45" t="s">
        <v>101</v>
      </c>
      <c r="K9" s="45">
        <v>0</v>
      </c>
      <c r="L9" s="44">
        <v>42370</v>
      </c>
      <c r="M9" s="45">
        <v>3</v>
      </c>
      <c r="N9" s="44">
        <v>45291</v>
      </c>
      <c r="O9" s="41" t="s">
        <v>108</v>
      </c>
    </row>
    <row r="10" spans="1:15" ht="36" customHeight="1" thickBot="1" x14ac:dyDescent="0.3">
      <c r="A10" s="57"/>
      <c r="B10" s="57"/>
      <c r="C10" s="36" t="s">
        <v>15</v>
      </c>
      <c r="D10" s="36" t="s">
        <v>22</v>
      </c>
      <c r="E10" s="36" t="s">
        <v>64</v>
      </c>
      <c r="F10" s="36" t="s">
        <v>32</v>
      </c>
      <c r="G10" s="45" t="s">
        <v>109</v>
      </c>
      <c r="H10" s="42" t="s">
        <v>110</v>
      </c>
      <c r="I10" s="45" t="s">
        <v>107</v>
      </c>
      <c r="J10" s="45" t="s">
        <v>101</v>
      </c>
      <c r="K10" s="45">
        <v>0</v>
      </c>
      <c r="L10" s="44">
        <v>42370</v>
      </c>
      <c r="M10" s="45">
        <v>15</v>
      </c>
      <c r="N10" s="44">
        <v>45291</v>
      </c>
      <c r="O10" s="41" t="s">
        <v>102</v>
      </c>
    </row>
    <row r="11" spans="1:15" ht="36" customHeight="1" thickBot="1" x14ac:dyDescent="0.3">
      <c r="A11" s="56" t="s">
        <v>53</v>
      </c>
      <c r="B11" s="56" t="s">
        <v>51</v>
      </c>
      <c r="C11" s="36" t="s">
        <v>15</v>
      </c>
      <c r="D11" s="36" t="s">
        <v>22</v>
      </c>
      <c r="E11" s="36" t="s">
        <v>64</v>
      </c>
      <c r="F11" s="36" t="s">
        <v>32</v>
      </c>
      <c r="G11" s="45" t="s">
        <v>111</v>
      </c>
      <c r="H11" s="42" t="s">
        <v>112</v>
      </c>
      <c r="I11" s="45" t="s">
        <v>113</v>
      </c>
      <c r="J11" s="48" t="s">
        <v>96</v>
      </c>
      <c r="K11" s="48">
        <v>108</v>
      </c>
      <c r="L11" s="44">
        <v>42004</v>
      </c>
      <c r="M11" s="45">
        <v>48</v>
      </c>
      <c r="N11" s="44">
        <v>45291</v>
      </c>
      <c r="O11" s="41" t="s">
        <v>97</v>
      </c>
    </row>
    <row r="12" spans="1:15" ht="36" customHeight="1" thickBot="1" x14ac:dyDescent="0.3">
      <c r="A12" s="62"/>
      <c r="B12" s="62"/>
      <c r="C12" s="36" t="s">
        <v>15</v>
      </c>
      <c r="D12" s="36" t="s">
        <v>22</v>
      </c>
      <c r="E12" s="36" t="s">
        <v>64</v>
      </c>
      <c r="F12" s="36" t="s">
        <v>32</v>
      </c>
      <c r="G12" s="45" t="s">
        <v>114</v>
      </c>
      <c r="H12" s="42" t="s">
        <v>115</v>
      </c>
      <c r="I12" s="45" t="s">
        <v>116</v>
      </c>
      <c r="J12" s="48" t="s">
        <v>101</v>
      </c>
      <c r="K12" s="48">
        <v>0</v>
      </c>
      <c r="L12" s="44">
        <v>42370</v>
      </c>
      <c r="M12" s="45">
        <v>5</v>
      </c>
      <c r="N12" s="44">
        <v>45291</v>
      </c>
      <c r="O12" s="41" t="s">
        <v>117</v>
      </c>
    </row>
    <row r="13" spans="1:15" ht="31.5" customHeight="1" thickBot="1" x14ac:dyDescent="0.3">
      <c r="A13" s="57"/>
      <c r="B13" s="57"/>
      <c r="C13" s="36" t="s">
        <v>15</v>
      </c>
      <c r="D13" s="36" t="s">
        <v>22</v>
      </c>
      <c r="E13" s="36" t="s">
        <v>64</v>
      </c>
      <c r="F13" s="36" t="s">
        <v>32</v>
      </c>
      <c r="G13" s="45" t="s">
        <v>118</v>
      </c>
      <c r="H13" s="42" t="s">
        <v>119</v>
      </c>
      <c r="I13" s="45" t="s">
        <v>120</v>
      </c>
      <c r="J13" s="48" t="s">
        <v>101</v>
      </c>
      <c r="K13" s="48">
        <v>0</v>
      </c>
      <c r="L13" s="44">
        <v>42370</v>
      </c>
      <c r="M13" s="45">
        <v>3</v>
      </c>
      <c r="N13" s="44">
        <v>45291</v>
      </c>
      <c r="O13" s="41" t="s">
        <v>117</v>
      </c>
    </row>
    <row r="14" spans="1:15" ht="22.5" customHeight="1" thickBot="1" x14ac:dyDescent="0.3">
      <c r="A14" s="56" t="s">
        <v>54</v>
      </c>
      <c r="B14" s="56" t="s">
        <v>25</v>
      </c>
      <c r="C14" s="36" t="s">
        <v>15</v>
      </c>
      <c r="D14" s="36" t="s">
        <v>22</v>
      </c>
      <c r="E14" s="36" t="s">
        <v>64</v>
      </c>
      <c r="F14" s="36" t="s">
        <v>32</v>
      </c>
      <c r="G14" s="45" t="s">
        <v>121</v>
      </c>
      <c r="H14" s="42" t="s">
        <v>122</v>
      </c>
      <c r="I14" s="45" t="s">
        <v>123</v>
      </c>
      <c r="J14" s="45" t="s">
        <v>96</v>
      </c>
      <c r="K14" s="45">
        <v>450</v>
      </c>
      <c r="L14" s="44">
        <v>42370</v>
      </c>
      <c r="M14" s="45">
        <v>513</v>
      </c>
      <c r="N14" s="44">
        <v>45291</v>
      </c>
      <c r="O14" s="41" t="s">
        <v>124</v>
      </c>
    </row>
    <row r="15" spans="1:15" ht="22.5" customHeight="1" thickBot="1" x14ac:dyDescent="0.3">
      <c r="A15" s="62"/>
      <c r="B15" s="57"/>
      <c r="C15" s="36" t="s">
        <v>15</v>
      </c>
      <c r="D15" s="36" t="s">
        <v>22</v>
      </c>
      <c r="E15" s="36" t="s">
        <v>64</v>
      </c>
      <c r="F15" s="36" t="s">
        <v>32</v>
      </c>
      <c r="G15" s="45" t="s">
        <v>125</v>
      </c>
      <c r="H15" s="42" t="s">
        <v>126</v>
      </c>
      <c r="I15" s="45" t="s">
        <v>127</v>
      </c>
      <c r="J15" s="45" t="s">
        <v>101</v>
      </c>
      <c r="K15" s="45">
        <v>0</v>
      </c>
      <c r="L15" s="44">
        <v>42370</v>
      </c>
      <c r="M15" s="45">
        <v>3</v>
      </c>
      <c r="N15" s="44">
        <v>45291</v>
      </c>
      <c r="O15" s="41" t="s">
        <v>124</v>
      </c>
    </row>
    <row r="16" spans="1:15" ht="26.25" customHeight="1" thickBot="1" x14ac:dyDescent="0.3">
      <c r="A16" s="62"/>
      <c r="B16" s="56" t="s">
        <v>72</v>
      </c>
      <c r="C16" s="36" t="s">
        <v>17</v>
      </c>
      <c r="D16" s="36" t="s">
        <v>39</v>
      </c>
      <c r="E16" s="36" t="s">
        <v>66</v>
      </c>
      <c r="F16" s="36" t="s">
        <v>65</v>
      </c>
      <c r="G16" s="45">
        <v>94302</v>
      </c>
      <c r="H16" s="42" t="s">
        <v>128</v>
      </c>
      <c r="I16" s="45" t="s">
        <v>107</v>
      </c>
      <c r="J16" s="45" t="s">
        <v>96</v>
      </c>
      <c r="K16" s="45">
        <v>280</v>
      </c>
      <c r="L16" s="44">
        <v>42370</v>
      </c>
      <c r="M16" s="45">
        <v>282</v>
      </c>
      <c r="N16" s="44">
        <v>45291</v>
      </c>
      <c r="O16" s="41" t="s">
        <v>129</v>
      </c>
    </row>
    <row r="17" spans="1:15" ht="34.5" customHeight="1" thickBot="1" x14ac:dyDescent="0.3">
      <c r="A17" s="62"/>
      <c r="B17" s="57"/>
      <c r="C17" s="36" t="s">
        <v>17</v>
      </c>
      <c r="D17" s="36" t="s">
        <v>39</v>
      </c>
      <c r="E17" s="36" t="s">
        <v>66</v>
      </c>
      <c r="F17" s="36" t="s">
        <v>65</v>
      </c>
      <c r="G17" s="45">
        <v>93701</v>
      </c>
      <c r="H17" s="42" t="s">
        <v>130</v>
      </c>
      <c r="I17" s="45" t="s">
        <v>131</v>
      </c>
      <c r="J17" s="45" t="s">
        <v>101</v>
      </c>
      <c r="K17" s="45">
        <v>0</v>
      </c>
      <c r="L17" s="44">
        <v>42370</v>
      </c>
      <c r="M17" s="45">
        <v>2</v>
      </c>
      <c r="N17" s="44">
        <v>45291</v>
      </c>
      <c r="O17" s="41" t="s">
        <v>102</v>
      </c>
    </row>
    <row r="18" spans="1:15" ht="35.25" customHeight="1" thickBot="1" x14ac:dyDescent="0.3">
      <c r="A18" s="62"/>
      <c r="B18" s="56" t="s">
        <v>18</v>
      </c>
      <c r="C18" s="36" t="s">
        <v>17</v>
      </c>
      <c r="D18" s="36" t="s">
        <v>39</v>
      </c>
      <c r="E18" s="36" t="s">
        <v>66</v>
      </c>
      <c r="F18" s="36" t="s">
        <v>65</v>
      </c>
      <c r="G18" s="45">
        <v>92702</v>
      </c>
      <c r="H18" s="42" t="s">
        <v>132</v>
      </c>
      <c r="I18" s="45" t="s">
        <v>133</v>
      </c>
      <c r="J18" s="45" t="s">
        <v>101</v>
      </c>
      <c r="K18" s="45">
        <v>0</v>
      </c>
      <c r="L18" s="44">
        <v>42370</v>
      </c>
      <c r="M18" s="45">
        <v>1</v>
      </c>
      <c r="N18" s="44">
        <v>45291</v>
      </c>
      <c r="O18" s="41" t="s">
        <v>102</v>
      </c>
    </row>
    <row r="19" spans="1:15" ht="30.75" customHeight="1" thickBot="1" x14ac:dyDescent="0.3">
      <c r="A19" s="62"/>
      <c r="B19" s="57"/>
      <c r="C19" s="36" t="s">
        <v>17</v>
      </c>
      <c r="D19" s="36" t="s">
        <v>39</v>
      </c>
      <c r="E19" s="36" t="s">
        <v>66</v>
      </c>
      <c r="F19" s="36" t="s">
        <v>65</v>
      </c>
      <c r="G19" s="45">
        <v>93001</v>
      </c>
      <c r="H19" s="42" t="s">
        <v>134</v>
      </c>
      <c r="I19" s="45" t="s">
        <v>135</v>
      </c>
      <c r="J19" s="45" t="s">
        <v>101</v>
      </c>
      <c r="K19" s="45">
        <v>0</v>
      </c>
      <c r="L19" s="44">
        <v>42370</v>
      </c>
      <c r="M19" s="54">
        <v>1.5</v>
      </c>
      <c r="N19" s="44">
        <v>45291</v>
      </c>
      <c r="O19" s="41" t="s">
        <v>102</v>
      </c>
    </row>
    <row r="20" spans="1:15" ht="36" customHeight="1" thickBot="1" x14ac:dyDescent="0.3">
      <c r="A20" s="62"/>
      <c r="B20" s="56" t="s">
        <v>30</v>
      </c>
      <c r="C20" s="36" t="s">
        <v>17</v>
      </c>
      <c r="D20" s="36" t="s">
        <v>39</v>
      </c>
      <c r="E20" s="36" t="s">
        <v>66</v>
      </c>
      <c r="F20" s="36" t="s">
        <v>65</v>
      </c>
      <c r="G20" s="45">
        <v>94800</v>
      </c>
      <c r="H20" s="42" t="s">
        <v>136</v>
      </c>
      <c r="I20" s="45" t="s">
        <v>137</v>
      </c>
      <c r="J20" s="45" t="s">
        <v>96</v>
      </c>
      <c r="K20" s="45">
        <v>0</v>
      </c>
      <c r="L20" s="44">
        <v>42370</v>
      </c>
      <c r="M20" s="45">
        <v>0</v>
      </c>
      <c r="N20" s="44">
        <v>45291</v>
      </c>
      <c r="O20" s="41" t="s">
        <v>102</v>
      </c>
    </row>
    <row r="21" spans="1:15" ht="34.5" thickBot="1" x14ac:dyDescent="0.3">
      <c r="A21" s="62"/>
      <c r="B21" s="57"/>
      <c r="C21" s="36" t="s">
        <v>17</v>
      </c>
      <c r="D21" s="36" t="s">
        <v>39</v>
      </c>
      <c r="E21" s="36" t="s">
        <v>66</v>
      </c>
      <c r="F21" s="36" t="s">
        <v>65</v>
      </c>
      <c r="G21" s="45">
        <v>93701</v>
      </c>
      <c r="H21" s="42" t="s">
        <v>130</v>
      </c>
      <c r="I21" s="45" t="s">
        <v>131</v>
      </c>
      <c r="J21" s="45" t="s">
        <v>101</v>
      </c>
      <c r="K21" s="45">
        <v>0</v>
      </c>
      <c r="L21" s="44">
        <v>42370</v>
      </c>
      <c r="M21" s="45">
        <v>1</v>
      </c>
      <c r="N21" s="44">
        <v>45291</v>
      </c>
      <c r="O21" s="41" t="s">
        <v>102</v>
      </c>
    </row>
    <row r="22" spans="1:15" ht="30.75" customHeight="1" thickBot="1" x14ac:dyDescent="0.3">
      <c r="A22" s="62"/>
      <c r="B22" s="56" t="s">
        <v>52</v>
      </c>
      <c r="C22" s="36" t="s">
        <v>26</v>
      </c>
      <c r="D22" s="36" t="s">
        <v>22</v>
      </c>
      <c r="E22" s="36" t="s">
        <v>40</v>
      </c>
      <c r="F22" s="36" t="s">
        <v>37</v>
      </c>
      <c r="G22" s="45">
        <v>45711</v>
      </c>
      <c r="H22" s="42" t="s">
        <v>138</v>
      </c>
      <c r="I22" s="45" t="s">
        <v>139</v>
      </c>
      <c r="J22" s="45" t="s">
        <v>96</v>
      </c>
      <c r="K22" s="45">
        <v>0</v>
      </c>
      <c r="L22" s="44">
        <v>42370</v>
      </c>
      <c r="M22" s="45">
        <v>5</v>
      </c>
      <c r="N22" s="44">
        <v>45291</v>
      </c>
      <c r="O22" s="41" t="s">
        <v>140</v>
      </c>
    </row>
    <row r="23" spans="1:15" ht="33" customHeight="1" thickBot="1" x14ac:dyDescent="0.3">
      <c r="A23" s="62"/>
      <c r="B23" s="62"/>
      <c r="C23" s="36" t="s">
        <v>26</v>
      </c>
      <c r="D23" s="36" t="s">
        <v>22</v>
      </c>
      <c r="E23" s="36" t="s">
        <v>40</v>
      </c>
      <c r="F23" s="36" t="s">
        <v>37</v>
      </c>
      <c r="G23" s="45">
        <v>45102</v>
      </c>
      <c r="H23" s="42" t="s">
        <v>141</v>
      </c>
      <c r="I23" s="45" t="s">
        <v>135</v>
      </c>
      <c r="J23" s="45" t="s">
        <v>101</v>
      </c>
      <c r="K23" s="45">
        <v>0</v>
      </c>
      <c r="L23" s="44">
        <v>42370</v>
      </c>
      <c r="M23" s="45">
        <v>38</v>
      </c>
      <c r="N23" s="44">
        <v>45291</v>
      </c>
      <c r="O23" s="41" t="s">
        <v>140</v>
      </c>
    </row>
    <row r="24" spans="1:15" ht="25.5" customHeight="1" thickBot="1" x14ac:dyDescent="0.3">
      <c r="A24" s="62"/>
      <c r="B24" s="57"/>
      <c r="C24" s="36" t="s">
        <v>26</v>
      </c>
      <c r="D24" s="36" t="s">
        <v>22</v>
      </c>
      <c r="E24" s="36" t="s">
        <v>40</v>
      </c>
      <c r="F24" s="36" t="s">
        <v>37</v>
      </c>
      <c r="G24" s="45">
        <v>45101</v>
      </c>
      <c r="H24" s="42" t="s">
        <v>142</v>
      </c>
      <c r="I24" s="45" t="s">
        <v>143</v>
      </c>
      <c r="J24" s="45" t="s">
        <v>101</v>
      </c>
      <c r="K24" s="45">
        <v>0</v>
      </c>
      <c r="L24" s="44">
        <v>42370</v>
      </c>
      <c r="M24" s="45">
        <v>3</v>
      </c>
      <c r="N24" s="44">
        <v>45291</v>
      </c>
      <c r="O24" s="41" t="s">
        <v>140</v>
      </c>
    </row>
    <row r="25" spans="1:15" ht="24.75" customHeight="1" thickBot="1" x14ac:dyDescent="0.3">
      <c r="A25" s="62"/>
      <c r="B25" s="56" t="s">
        <v>35</v>
      </c>
      <c r="C25" s="36" t="s">
        <v>26</v>
      </c>
      <c r="D25" s="36" t="s">
        <v>22</v>
      </c>
      <c r="E25" s="36" t="s">
        <v>40</v>
      </c>
      <c r="F25" s="36" t="s">
        <v>38</v>
      </c>
      <c r="G25" s="45">
        <v>45415</v>
      </c>
      <c r="H25" s="42" t="s">
        <v>144</v>
      </c>
      <c r="I25" s="45" t="s">
        <v>139</v>
      </c>
      <c r="J25" s="45" t="s">
        <v>96</v>
      </c>
      <c r="K25" s="45">
        <v>0</v>
      </c>
      <c r="L25" s="44">
        <v>42370</v>
      </c>
      <c r="M25" s="45">
        <v>1</v>
      </c>
      <c r="N25" s="44">
        <v>45291</v>
      </c>
      <c r="O25" s="41" t="s">
        <v>140</v>
      </c>
    </row>
    <row r="26" spans="1:15" ht="34.5" thickBot="1" x14ac:dyDescent="0.3">
      <c r="A26" s="57"/>
      <c r="B26" s="57"/>
      <c r="C26" s="36" t="s">
        <v>26</v>
      </c>
      <c r="D26" s="36" t="s">
        <v>22</v>
      </c>
      <c r="E26" s="36" t="s">
        <v>40</v>
      </c>
      <c r="F26" s="36" t="s">
        <v>38</v>
      </c>
      <c r="G26" s="45">
        <v>46500</v>
      </c>
      <c r="H26" s="42" t="s">
        <v>145</v>
      </c>
      <c r="I26" s="45" t="s">
        <v>135</v>
      </c>
      <c r="J26" s="45" t="s">
        <v>101</v>
      </c>
      <c r="K26" s="45">
        <v>0</v>
      </c>
      <c r="L26" s="44">
        <v>42370</v>
      </c>
      <c r="M26" s="45">
        <v>16</v>
      </c>
      <c r="N26" s="44">
        <v>45291</v>
      </c>
      <c r="O26" s="41" t="s">
        <v>140</v>
      </c>
    </row>
    <row r="27" spans="1:15" ht="44.25" customHeight="1" thickBot="1" x14ac:dyDescent="0.3">
      <c r="A27" s="56" t="s">
        <v>55</v>
      </c>
      <c r="B27" s="56" t="s">
        <v>24</v>
      </c>
      <c r="C27" s="36" t="s">
        <v>15</v>
      </c>
      <c r="D27" s="36" t="s">
        <v>22</v>
      </c>
      <c r="E27" s="36" t="s">
        <v>64</v>
      </c>
      <c r="F27" s="36" t="s">
        <v>32</v>
      </c>
      <c r="G27" s="45" t="s">
        <v>146</v>
      </c>
      <c r="H27" s="43" t="s">
        <v>147</v>
      </c>
      <c r="I27" s="45" t="s">
        <v>148</v>
      </c>
      <c r="J27" s="48" t="s">
        <v>96</v>
      </c>
      <c r="K27" s="45">
        <v>26553793</v>
      </c>
      <c r="L27" s="44">
        <v>41639</v>
      </c>
      <c r="M27" s="45">
        <v>27500000</v>
      </c>
      <c r="N27" s="44">
        <v>45291</v>
      </c>
      <c r="O27" s="41" t="s">
        <v>97</v>
      </c>
    </row>
    <row r="28" spans="1:15" ht="32.25" customHeight="1" thickBot="1" x14ac:dyDescent="0.3">
      <c r="A28" s="57"/>
      <c r="B28" s="57"/>
      <c r="C28" s="36" t="s">
        <v>15</v>
      </c>
      <c r="D28" s="36" t="s">
        <v>22</v>
      </c>
      <c r="E28" s="36" t="s">
        <v>64</v>
      </c>
      <c r="F28" s="36" t="s">
        <v>32</v>
      </c>
      <c r="G28" s="45" t="s">
        <v>149</v>
      </c>
      <c r="H28" s="42" t="s">
        <v>150</v>
      </c>
      <c r="I28" s="45" t="s">
        <v>120</v>
      </c>
      <c r="J28" s="48" t="s">
        <v>101</v>
      </c>
      <c r="K28" s="48">
        <v>0</v>
      </c>
      <c r="L28" s="44">
        <v>42370</v>
      </c>
      <c r="M28" s="45">
        <v>1</v>
      </c>
      <c r="N28" s="44">
        <v>45291</v>
      </c>
      <c r="O28" s="41" t="s">
        <v>102</v>
      </c>
    </row>
    <row r="29" spans="1:15" ht="31.5" customHeight="1" thickBot="1" x14ac:dyDescent="0.3">
      <c r="A29" s="56" t="s">
        <v>59</v>
      </c>
      <c r="B29" s="56" t="s">
        <v>56</v>
      </c>
      <c r="C29" s="36" t="s">
        <v>15</v>
      </c>
      <c r="D29" s="36" t="s">
        <v>22</v>
      </c>
      <c r="E29" s="36" t="s">
        <v>64</v>
      </c>
      <c r="F29" s="36" t="s">
        <v>32</v>
      </c>
      <c r="G29" s="45" t="s">
        <v>151</v>
      </c>
      <c r="H29" s="42" t="s">
        <v>152</v>
      </c>
      <c r="I29" s="45" t="s">
        <v>153</v>
      </c>
      <c r="J29" s="48" t="s">
        <v>96</v>
      </c>
      <c r="K29" s="48">
        <v>1110</v>
      </c>
      <c r="L29" s="44">
        <v>42370</v>
      </c>
      <c r="M29" s="45">
        <v>1230</v>
      </c>
      <c r="N29" s="44">
        <v>45291</v>
      </c>
      <c r="O29" s="41" t="s">
        <v>154</v>
      </c>
    </row>
    <row r="30" spans="1:15" ht="34.5" customHeight="1" thickBot="1" x14ac:dyDescent="0.3">
      <c r="A30" s="62"/>
      <c r="B30" s="62"/>
      <c r="C30" s="36" t="s">
        <v>15</v>
      </c>
      <c r="D30" s="36" t="s">
        <v>22</v>
      </c>
      <c r="E30" s="36" t="s">
        <v>64</v>
      </c>
      <c r="F30" s="36" t="s">
        <v>32</v>
      </c>
      <c r="G30" s="45" t="s">
        <v>155</v>
      </c>
      <c r="H30" s="42" t="s">
        <v>156</v>
      </c>
      <c r="I30" s="45" t="s">
        <v>157</v>
      </c>
      <c r="J30" s="45" t="s">
        <v>101</v>
      </c>
      <c r="K30" s="48">
        <v>0</v>
      </c>
      <c r="L30" s="44">
        <v>42370</v>
      </c>
      <c r="M30" s="45">
        <v>6</v>
      </c>
      <c r="N30" s="44">
        <v>45291</v>
      </c>
      <c r="O30" s="41" t="s">
        <v>102</v>
      </c>
    </row>
    <row r="31" spans="1:15" ht="35.25" customHeight="1" thickBot="1" x14ac:dyDescent="0.3">
      <c r="A31" s="62"/>
      <c r="B31" s="62"/>
      <c r="C31" s="36" t="s">
        <v>15</v>
      </c>
      <c r="D31" s="36" t="s">
        <v>22</v>
      </c>
      <c r="E31" s="36" t="s">
        <v>64</v>
      </c>
      <c r="F31" s="36" t="s">
        <v>32</v>
      </c>
      <c r="G31" s="45" t="s">
        <v>158</v>
      </c>
      <c r="H31" s="42" t="s">
        <v>159</v>
      </c>
      <c r="I31" s="45" t="s">
        <v>160</v>
      </c>
      <c r="J31" s="45" t="s">
        <v>101</v>
      </c>
      <c r="K31" s="48">
        <v>0</v>
      </c>
      <c r="L31" s="44">
        <v>42370</v>
      </c>
      <c r="M31" s="45">
        <v>6</v>
      </c>
      <c r="N31" s="44">
        <v>45291</v>
      </c>
      <c r="O31" s="41" t="s">
        <v>102</v>
      </c>
    </row>
    <row r="32" spans="1:15" ht="31.5" customHeight="1" thickBot="1" x14ac:dyDescent="0.3">
      <c r="A32" s="62"/>
      <c r="B32" s="62"/>
      <c r="C32" s="36" t="s">
        <v>15</v>
      </c>
      <c r="D32" s="36" t="s">
        <v>22</v>
      </c>
      <c r="E32" s="36" t="s">
        <v>64</v>
      </c>
      <c r="F32" s="36" t="s">
        <v>32</v>
      </c>
      <c r="G32" s="45" t="s">
        <v>161</v>
      </c>
      <c r="H32" s="42" t="s">
        <v>162</v>
      </c>
      <c r="I32" s="45" t="s">
        <v>163</v>
      </c>
      <c r="J32" s="45" t="s">
        <v>96</v>
      </c>
      <c r="K32" s="48">
        <v>0</v>
      </c>
      <c r="L32" s="44">
        <v>42370</v>
      </c>
      <c r="M32" s="45">
        <v>8</v>
      </c>
      <c r="N32" s="44">
        <v>45291</v>
      </c>
      <c r="O32" s="41" t="s">
        <v>102</v>
      </c>
    </row>
    <row r="33" spans="1:15" ht="33" customHeight="1" thickBot="1" x14ac:dyDescent="0.3">
      <c r="A33" s="62"/>
      <c r="B33" s="57"/>
      <c r="C33" s="36" t="s">
        <v>15</v>
      </c>
      <c r="D33" s="36" t="s">
        <v>22</v>
      </c>
      <c r="E33" s="36" t="s">
        <v>64</v>
      </c>
      <c r="F33" s="36" t="s">
        <v>32</v>
      </c>
      <c r="G33" s="45" t="s">
        <v>164</v>
      </c>
      <c r="H33" s="42" t="s">
        <v>165</v>
      </c>
      <c r="I33" s="45" t="s">
        <v>166</v>
      </c>
      <c r="J33" s="45" t="s">
        <v>101</v>
      </c>
      <c r="K33" s="48">
        <v>0</v>
      </c>
      <c r="L33" s="44">
        <v>42370</v>
      </c>
      <c r="M33" s="45">
        <v>4</v>
      </c>
      <c r="N33" s="44">
        <v>45291</v>
      </c>
      <c r="O33" s="41" t="s">
        <v>102</v>
      </c>
    </row>
    <row r="34" spans="1:15" ht="48.75" customHeight="1" thickBot="1" x14ac:dyDescent="0.3">
      <c r="A34" s="62"/>
      <c r="B34" s="62" t="s">
        <v>57</v>
      </c>
      <c r="C34" s="36" t="s">
        <v>15</v>
      </c>
      <c r="D34" s="36" t="s">
        <v>22</v>
      </c>
      <c r="E34" s="36" t="s">
        <v>64</v>
      </c>
      <c r="F34" s="36" t="s">
        <v>32</v>
      </c>
      <c r="G34" s="45" t="s">
        <v>167</v>
      </c>
      <c r="H34" s="42" t="s">
        <v>168</v>
      </c>
      <c r="I34" s="45" t="s">
        <v>169</v>
      </c>
      <c r="J34" s="45" t="s">
        <v>96</v>
      </c>
      <c r="K34" s="48">
        <v>0</v>
      </c>
      <c r="L34" s="44">
        <v>42370</v>
      </c>
      <c r="M34" s="45">
        <v>20</v>
      </c>
      <c r="N34" s="44">
        <v>45291</v>
      </c>
      <c r="O34" s="41" t="s">
        <v>102</v>
      </c>
    </row>
    <row r="35" spans="1:15" ht="37.5" customHeight="1" thickBot="1" x14ac:dyDescent="0.3">
      <c r="A35" s="62"/>
      <c r="B35" s="57"/>
      <c r="C35" s="36" t="s">
        <v>15</v>
      </c>
      <c r="D35" s="36" t="s">
        <v>22</v>
      </c>
      <c r="E35" s="36" t="s">
        <v>64</v>
      </c>
      <c r="F35" s="36" t="s">
        <v>32</v>
      </c>
      <c r="G35" s="45" t="s">
        <v>170</v>
      </c>
      <c r="H35" s="42" t="s">
        <v>171</v>
      </c>
      <c r="I35" s="45" t="s">
        <v>172</v>
      </c>
      <c r="J35" s="45" t="s">
        <v>101</v>
      </c>
      <c r="K35" s="48">
        <v>0</v>
      </c>
      <c r="L35" s="44">
        <v>42370</v>
      </c>
      <c r="M35" s="45">
        <v>2</v>
      </c>
      <c r="N35" s="44">
        <v>45291</v>
      </c>
      <c r="O35" s="41" t="s">
        <v>102</v>
      </c>
    </row>
    <row r="36" spans="1:15" ht="31.5" customHeight="1" thickBot="1" x14ac:dyDescent="0.3">
      <c r="A36" s="62"/>
      <c r="B36" s="56" t="s">
        <v>33</v>
      </c>
      <c r="C36" s="36" t="s">
        <v>19</v>
      </c>
      <c r="D36" s="36" t="s">
        <v>20</v>
      </c>
      <c r="E36" s="36" t="s">
        <v>21</v>
      </c>
      <c r="F36" s="36" t="s">
        <v>16</v>
      </c>
      <c r="G36" s="48">
        <v>50110</v>
      </c>
      <c r="H36" s="36" t="s">
        <v>173</v>
      </c>
      <c r="I36" s="48" t="s">
        <v>174</v>
      </c>
      <c r="J36" s="48" t="s">
        <v>96</v>
      </c>
      <c r="K36" s="48">
        <v>0</v>
      </c>
      <c r="L36" s="44">
        <v>42370</v>
      </c>
      <c r="M36" s="45">
        <v>40</v>
      </c>
      <c r="N36" s="44">
        <v>45291</v>
      </c>
      <c r="O36" s="41" t="s">
        <v>102</v>
      </c>
    </row>
    <row r="37" spans="1:15" ht="30.75" customHeight="1" thickBot="1" x14ac:dyDescent="0.3">
      <c r="A37" s="62"/>
      <c r="B37" s="62"/>
      <c r="C37" s="36" t="s">
        <v>19</v>
      </c>
      <c r="D37" s="36" t="s">
        <v>20</v>
      </c>
      <c r="E37" s="36" t="s">
        <v>21</v>
      </c>
      <c r="F37" s="36" t="s">
        <v>16</v>
      </c>
      <c r="G37" s="48">
        <v>50001</v>
      </c>
      <c r="H37" s="36" t="s">
        <v>175</v>
      </c>
      <c r="I37" s="48" t="s">
        <v>174</v>
      </c>
      <c r="J37" s="48" t="s">
        <v>101</v>
      </c>
      <c r="K37" s="48">
        <v>0</v>
      </c>
      <c r="L37" s="44">
        <v>42370</v>
      </c>
      <c r="M37" s="45">
        <v>20</v>
      </c>
      <c r="N37" s="44">
        <v>45291</v>
      </c>
      <c r="O37" s="41" t="s">
        <v>102</v>
      </c>
    </row>
    <row r="38" spans="1:15" ht="33" customHeight="1" thickBot="1" x14ac:dyDescent="0.3">
      <c r="A38" s="62"/>
      <c r="B38" s="57"/>
      <c r="C38" s="36" t="s">
        <v>19</v>
      </c>
      <c r="D38" s="36" t="s">
        <v>20</v>
      </c>
      <c r="E38" s="36" t="s">
        <v>21</v>
      </c>
      <c r="F38" s="36" t="s">
        <v>16</v>
      </c>
      <c r="G38" s="48">
        <v>50100</v>
      </c>
      <c r="H38" s="36" t="s">
        <v>176</v>
      </c>
      <c r="I38" s="48" t="s">
        <v>160</v>
      </c>
      <c r="J38" s="48" t="s">
        <v>101</v>
      </c>
      <c r="K38" s="48">
        <v>0</v>
      </c>
      <c r="L38" s="44">
        <v>42370</v>
      </c>
      <c r="M38" s="45">
        <v>2</v>
      </c>
      <c r="N38" s="44">
        <v>45291</v>
      </c>
      <c r="O38" s="41" t="s">
        <v>102</v>
      </c>
    </row>
    <row r="39" spans="1:15" ht="36.75" customHeight="1" thickBot="1" x14ac:dyDescent="0.3">
      <c r="A39" s="62"/>
      <c r="B39" s="56" t="s">
        <v>73</v>
      </c>
      <c r="C39" s="36" t="s">
        <v>19</v>
      </c>
      <c r="D39" s="36" t="s">
        <v>20</v>
      </c>
      <c r="E39" s="36" t="s">
        <v>21</v>
      </c>
      <c r="F39" s="36" t="s">
        <v>16</v>
      </c>
      <c r="G39" s="48">
        <v>67010</v>
      </c>
      <c r="H39" s="36" t="s">
        <v>177</v>
      </c>
      <c r="I39" s="48" t="s">
        <v>174</v>
      </c>
      <c r="J39" s="48" t="s">
        <v>96</v>
      </c>
      <c r="K39" s="48">
        <v>0</v>
      </c>
      <c r="L39" s="44">
        <v>42370</v>
      </c>
      <c r="M39" s="45">
        <v>65</v>
      </c>
      <c r="N39" s="44">
        <v>45291</v>
      </c>
      <c r="O39" s="41" t="s">
        <v>178</v>
      </c>
    </row>
    <row r="40" spans="1:15" ht="34.5" customHeight="1" thickBot="1" x14ac:dyDescent="0.3">
      <c r="A40" s="62"/>
      <c r="B40" s="62"/>
      <c r="C40" s="36" t="s">
        <v>19</v>
      </c>
      <c r="D40" s="36" t="s">
        <v>20</v>
      </c>
      <c r="E40" s="36" t="s">
        <v>21</v>
      </c>
      <c r="F40" s="36" t="s">
        <v>16</v>
      </c>
      <c r="G40" s="48">
        <v>60000</v>
      </c>
      <c r="H40" s="36" t="s">
        <v>179</v>
      </c>
      <c r="I40" s="48" t="s">
        <v>180</v>
      </c>
      <c r="J40" s="48" t="s">
        <v>101</v>
      </c>
      <c r="K40" s="48">
        <v>0</v>
      </c>
      <c r="L40" s="44">
        <v>42370</v>
      </c>
      <c r="M40" s="45">
        <v>120</v>
      </c>
      <c r="N40" s="44">
        <v>45291</v>
      </c>
      <c r="O40" s="41" t="s">
        <v>178</v>
      </c>
    </row>
    <row r="41" spans="1:15" ht="34.5" customHeight="1" thickBot="1" x14ac:dyDescent="0.3">
      <c r="A41" s="57"/>
      <c r="B41" s="57"/>
      <c r="C41" s="36" t="s">
        <v>19</v>
      </c>
      <c r="D41" s="36" t="s">
        <v>20</v>
      </c>
      <c r="E41" s="36" t="s">
        <v>21</v>
      </c>
      <c r="F41" s="36" t="s">
        <v>16</v>
      </c>
      <c r="G41" s="48">
        <v>67001</v>
      </c>
      <c r="H41" s="36" t="s">
        <v>181</v>
      </c>
      <c r="I41" s="48" t="s">
        <v>182</v>
      </c>
      <c r="J41" s="48" t="s">
        <v>101</v>
      </c>
      <c r="K41" s="48">
        <v>0</v>
      </c>
      <c r="L41" s="44">
        <v>42370</v>
      </c>
      <c r="M41" s="45">
        <v>80</v>
      </c>
      <c r="N41" s="44">
        <v>45291</v>
      </c>
      <c r="O41" s="41" t="s">
        <v>178</v>
      </c>
    </row>
    <row r="42" spans="1:15" ht="33.75" customHeight="1" thickBot="1" x14ac:dyDescent="0.3">
      <c r="A42" s="56" t="s">
        <v>47</v>
      </c>
      <c r="B42" s="56" t="s">
        <v>68</v>
      </c>
      <c r="C42" s="36" t="s">
        <v>15</v>
      </c>
      <c r="D42" s="36" t="s">
        <v>22</v>
      </c>
      <c r="E42" s="36" t="s">
        <v>64</v>
      </c>
      <c r="F42" s="36" t="s">
        <v>32</v>
      </c>
      <c r="G42" s="45" t="s">
        <v>183</v>
      </c>
      <c r="H42" s="42" t="s">
        <v>184</v>
      </c>
      <c r="I42" s="45" t="s">
        <v>95</v>
      </c>
      <c r="J42" s="48" t="s">
        <v>96</v>
      </c>
      <c r="K42" s="48">
        <v>77.3</v>
      </c>
      <c r="L42" s="44">
        <v>41639</v>
      </c>
      <c r="M42" s="48">
        <v>90.5</v>
      </c>
      <c r="N42" s="44">
        <v>45291</v>
      </c>
      <c r="O42" s="41" t="s">
        <v>97</v>
      </c>
    </row>
    <row r="43" spans="1:15" ht="35.25" customHeight="1" thickBot="1" x14ac:dyDescent="0.3">
      <c r="A43" s="62"/>
      <c r="B43" s="62"/>
      <c r="C43" s="36" t="s">
        <v>15</v>
      </c>
      <c r="D43" s="36" t="s">
        <v>22</v>
      </c>
      <c r="E43" s="36" t="s">
        <v>64</v>
      </c>
      <c r="F43" s="36" t="s">
        <v>32</v>
      </c>
      <c r="G43" s="45" t="s">
        <v>185</v>
      </c>
      <c r="H43" s="42" t="s">
        <v>186</v>
      </c>
      <c r="I43" s="45" t="s">
        <v>174</v>
      </c>
      <c r="J43" s="48" t="s">
        <v>96</v>
      </c>
      <c r="K43" s="48">
        <v>0</v>
      </c>
      <c r="L43" s="44">
        <v>42370</v>
      </c>
      <c r="M43" s="45">
        <v>12</v>
      </c>
      <c r="N43" s="44">
        <v>45291</v>
      </c>
      <c r="O43" s="41" t="s">
        <v>102</v>
      </c>
    </row>
    <row r="44" spans="1:15" ht="33.75" customHeight="1" thickBot="1" x14ac:dyDescent="0.3">
      <c r="A44" s="62"/>
      <c r="B44" s="62"/>
      <c r="C44" s="36" t="s">
        <v>15</v>
      </c>
      <c r="D44" s="36" t="s">
        <v>22</v>
      </c>
      <c r="E44" s="36" t="s">
        <v>64</v>
      </c>
      <c r="F44" s="36" t="s">
        <v>32</v>
      </c>
      <c r="G44" s="45" t="s">
        <v>187</v>
      </c>
      <c r="H44" s="42" t="s">
        <v>188</v>
      </c>
      <c r="I44" s="45" t="s">
        <v>160</v>
      </c>
      <c r="J44" s="48" t="s">
        <v>101</v>
      </c>
      <c r="K44" s="48">
        <v>0</v>
      </c>
      <c r="L44" s="44">
        <v>42370</v>
      </c>
      <c r="M44" s="45">
        <v>10</v>
      </c>
      <c r="N44" s="44">
        <v>45291</v>
      </c>
      <c r="O44" s="41" t="s">
        <v>102</v>
      </c>
    </row>
    <row r="45" spans="1:15" ht="31.5" customHeight="1" thickBot="1" x14ac:dyDescent="0.3">
      <c r="A45" s="62"/>
      <c r="B45" s="62"/>
      <c r="C45" s="36" t="s">
        <v>15</v>
      </c>
      <c r="D45" s="36" t="s">
        <v>22</v>
      </c>
      <c r="E45" s="36" t="s">
        <v>64</v>
      </c>
      <c r="F45" s="36" t="s">
        <v>32</v>
      </c>
      <c r="G45" s="45" t="s">
        <v>189</v>
      </c>
      <c r="H45" s="42" t="s">
        <v>190</v>
      </c>
      <c r="I45" s="45" t="s">
        <v>174</v>
      </c>
      <c r="J45" s="48" t="s">
        <v>101</v>
      </c>
      <c r="K45" s="48">
        <v>0</v>
      </c>
      <c r="L45" s="44">
        <v>42370</v>
      </c>
      <c r="M45" s="45">
        <v>600</v>
      </c>
      <c r="N45" s="44">
        <v>45291</v>
      </c>
      <c r="O45" s="41" t="s">
        <v>102</v>
      </c>
    </row>
    <row r="46" spans="1:15" ht="31.5" customHeight="1" thickBot="1" x14ac:dyDescent="0.3">
      <c r="A46" s="62"/>
      <c r="B46" s="62"/>
      <c r="C46" s="36" t="s">
        <v>15</v>
      </c>
      <c r="D46" s="36" t="s">
        <v>22</v>
      </c>
      <c r="E46" s="36" t="s">
        <v>64</v>
      </c>
      <c r="F46" s="36" t="s">
        <v>32</v>
      </c>
      <c r="G46" s="45" t="s">
        <v>191</v>
      </c>
      <c r="H46" s="42" t="s">
        <v>192</v>
      </c>
      <c r="I46" s="45" t="s">
        <v>95</v>
      </c>
      <c r="J46" s="48" t="s">
        <v>96</v>
      </c>
      <c r="K46" s="48">
        <v>5.4</v>
      </c>
      <c r="L46" s="44">
        <v>41639</v>
      </c>
      <c r="M46" s="51">
        <v>5</v>
      </c>
      <c r="N46" s="44">
        <v>45291</v>
      </c>
      <c r="O46" s="41" t="s">
        <v>97</v>
      </c>
    </row>
    <row r="47" spans="1:15" ht="37.5" customHeight="1" thickBot="1" x14ac:dyDescent="0.3">
      <c r="A47" s="62"/>
      <c r="B47" s="56" t="s">
        <v>34</v>
      </c>
      <c r="C47" s="36" t="s">
        <v>17</v>
      </c>
      <c r="D47" s="36" t="s">
        <v>39</v>
      </c>
      <c r="E47" s="36" t="s">
        <v>66</v>
      </c>
      <c r="F47" s="36" t="s">
        <v>65</v>
      </c>
      <c r="G47" s="45" t="s">
        <v>193</v>
      </c>
      <c r="H47" s="42" t="s">
        <v>194</v>
      </c>
      <c r="I47" s="45" t="s">
        <v>174</v>
      </c>
      <c r="J47" s="48" t="s">
        <v>96</v>
      </c>
      <c r="K47" s="48">
        <v>0</v>
      </c>
      <c r="L47" s="44">
        <v>42370</v>
      </c>
      <c r="M47" s="45">
        <v>40</v>
      </c>
      <c r="N47" s="44">
        <v>45291</v>
      </c>
      <c r="O47" s="41" t="s">
        <v>102</v>
      </c>
    </row>
    <row r="48" spans="1:15" ht="31.5" customHeight="1" thickBot="1" x14ac:dyDescent="0.3">
      <c r="A48" s="57"/>
      <c r="B48" s="57"/>
      <c r="C48" s="36" t="s">
        <v>17</v>
      </c>
      <c r="D48" s="36" t="s">
        <v>39</v>
      </c>
      <c r="E48" s="36" t="s">
        <v>66</v>
      </c>
      <c r="F48" s="36" t="s">
        <v>65</v>
      </c>
      <c r="G48" s="45">
        <v>92301</v>
      </c>
      <c r="H48" s="42" t="s">
        <v>195</v>
      </c>
      <c r="I48" s="45" t="s">
        <v>174</v>
      </c>
      <c r="J48" s="48" t="s">
        <v>101</v>
      </c>
      <c r="K48" s="48">
        <v>0</v>
      </c>
      <c r="L48" s="44">
        <v>42370</v>
      </c>
      <c r="M48" s="45">
        <v>40</v>
      </c>
      <c r="N48" s="44">
        <v>45291</v>
      </c>
      <c r="O48" s="41" t="s">
        <v>102</v>
      </c>
    </row>
    <row r="49" spans="1:15" ht="33.75" customHeight="1" thickBot="1" x14ac:dyDescent="0.3">
      <c r="A49" s="56" t="s">
        <v>60</v>
      </c>
      <c r="B49" s="56" t="s">
        <v>58</v>
      </c>
      <c r="C49" s="36" t="s">
        <v>15</v>
      </c>
      <c r="D49" s="36" t="s">
        <v>22</v>
      </c>
      <c r="E49" s="36" t="s">
        <v>64</v>
      </c>
      <c r="F49" s="36" t="s">
        <v>32</v>
      </c>
      <c r="G49" s="45" t="s">
        <v>196</v>
      </c>
      <c r="H49" s="42" t="s">
        <v>197</v>
      </c>
      <c r="I49" s="45" t="s">
        <v>95</v>
      </c>
      <c r="J49" s="48" t="s">
        <v>96</v>
      </c>
      <c r="K49" s="48">
        <v>28.5</v>
      </c>
      <c r="L49" s="44">
        <v>41274</v>
      </c>
      <c r="M49" s="48">
        <v>22</v>
      </c>
      <c r="N49" s="44">
        <v>45291</v>
      </c>
      <c r="O49" s="41" t="s">
        <v>97</v>
      </c>
    </row>
    <row r="50" spans="1:15" ht="34.5" customHeight="1" thickBot="1" x14ac:dyDescent="0.3">
      <c r="A50" s="62"/>
      <c r="B50" s="57"/>
      <c r="C50" s="36" t="s">
        <v>15</v>
      </c>
      <c r="D50" s="36" t="s">
        <v>22</v>
      </c>
      <c r="E50" s="36" t="s">
        <v>64</v>
      </c>
      <c r="F50" s="36" t="s">
        <v>32</v>
      </c>
      <c r="G50" s="45" t="s">
        <v>198</v>
      </c>
      <c r="H50" s="42" t="s">
        <v>199</v>
      </c>
      <c r="I50" s="45" t="s">
        <v>200</v>
      </c>
      <c r="J50" s="48" t="s">
        <v>101</v>
      </c>
      <c r="K50" s="48">
        <v>0</v>
      </c>
      <c r="L50" s="44">
        <v>42370</v>
      </c>
      <c r="M50" s="45">
        <v>2</v>
      </c>
      <c r="N50" s="44">
        <v>45291</v>
      </c>
      <c r="O50" s="41" t="s">
        <v>102</v>
      </c>
    </row>
    <row r="51" spans="1:15" ht="34.5" thickBot="1" x14ac:dyDescent="0.3">
      <c r="A51" s="62"/>
      <c r="B51" s="56" t="s">
        <v>36</v>
      </c>
      <c r="C51" s="36" t="s">
        <v>19</v>
      </c>
      <c r="D51" s="36" t="s">
        <v>20</v>
      </c>
      <c r="E51" s="36" t="s">
        <v>21</v>
      </c>
      <c r="F51" s="36" t="s">
        <v>16</v>
      </c>
      <c r="G51" s="45">
        <v>62600</v>
      </c>
      <c r="H51" s="42" t="s">
        <v>201</v>
      </c>
      <c r="I51" s="45" t="s">
        <v>174</v>
      </c>
      <c r="J51" s="45" t="s">
        <v>96</v>
      </c>
      <c r="K51" s="45">
        <v>0</v>
      </c>
      <c r="L51" s="44">
        <v>42370</v>
      </c>
      <c r="M51" s="45">
        <v>20</v>
      </c>
      <c r="N51" s="44">
        <v>45291</v>
      </c>
      <c r="O51" s="41" t="s">
        <v>202</v>
      </c>
    </row>
    <row r="52" spans="1:15" ht="32.25" customHeight="1" thickBot="1" x14ac:dyDescent="0.3">
      <c r="A52" s="62"/>
      <c r="B52" s="62"/>
      <c r="C52" s="36" t="s">
        <v>19</v>
      </c>
      <c r="D52" s="36" t="s">
        <v>20</v>
      </c>
      <c r="E52" s="36" t="s">
        <v>21</v>
      </c>
      <c r="F52" s="36" t="s">
        <v>16</v>
      </c>
      <c r="G52" s="45">
        <v>62700</v>
      </c>
      <c r="H52" s="42" t="s">
        <v>203</v>
      </c>
      <c r="I52" s="45" t="s">
        <v>174</v>
      </c>
      <c r="J52" s="45" t="s">
        <v>96</v>
      </c>
      <c r="K52" s="45">
        <v>0</v>
      </c>
      <c r="L52" s="44">
        <v>42370</v>
      </c>
      <c r="M52" s="45">
        <v>15</v>
      </c>
      <c r="N52" s="44">
        <v>45291</v>
      </c>
      <c r="O52" s="41" t="s">
        <v>202</v>
      </c>
    </row>
    <row r="53" spans="1:15" ht="71.25" customHeight="1" thickBot="1" x14ac:dyDescent="0.3">
      <c r="A53" s="62"/>
      <c r="B53" s="62"/>
      <c r="C53" s="36" t="s">
        <v>19</v>
      </c>
      <c r="D53" s="36" t="s">
        <v>20</v>
      </c>
      <c r="E53" s="36" t="s">
        <v>21</v>
      </c>
      <c r="F53" s="36" t="s">
        <v>16</v>
      </c>
      <c r="G53" s="45">
        <v>62800</v>
      </c>
      <c r="H53" s="42" t="s">
        <v>204</v>
      </c>
      <c r="I53" s="45" t="s">
        <v>174</v>
      </c>
      <c r="J53" s="45" t="s">
        <v>96</v>
      </c>
      <c r="K53" s="45">
        <v>0</v>
      </c>
      <c r="L53" s="44">
        <v>42370</v>
      </c>
      <c r="M53" s="45">
        <v>50</v>
      </c>
      <c r="N53" s="44">
        <v>45291</v>
      </c>
      <c r="O53" s="41" t="s">
        <v>202</v>
      </c>
    </row>
    <row r="54" spans="1:15" ht="35.25" customHeight="1" thickBot="1" x14ac:dyDescent="0.3">
      <c r="A54" s="62"/>
      <c r="B54" s="62"/>
      <c r="C54" s="36" t="s">
        <v>19</v>
      </c>
      <c r="D54" s="36" t="s">
        <v>20</v>
      </c>
      <c r="E54" s="36" t="s">
        <v>21</v>
      </c>
      <c r="F54" s="36" t="s">
        <v>16</v>
      </c>
      <c r="G54" s="45">
        <v>62900</v>
      </c>
      <c r="H54" s="42" t="s">
        <v>205</v>
      </c>
      <c r="I54" s="45" t="s">
        <v>174</v>
      </c>
      <c r="J54" s="45" t="s">
        <v>96</v>
      </c>
      <c r="K54" s="45">
        <v>0</v>
      </c>
      <c r="L54" s="44">
        <v>42370</v>
      </c>
      <c r="M54" s="45">
        <v>8</v>
      </c>
      <c r="N54" s="44">
        <v>45291</v>
      </c>
      <c r="O54" s="41" t="s">
        <v>202</v>
      </c>
    </row>
    <row r="55" spans="1:15" ht="42" customHeight="1" thickBot="1" x14ac:dyDescent="0.3">
      <c r="A55" s="62"/>
      <c r="B55" s="62"/>
      <c r="C55" s="36" t="s">
        <v>19</v>
      </c>
      <c r="D55" s="36" t="s">
        <v>20</v>
      </c>
      <c r="E55" s="36" t="s">
        <v>21</v>
      </c>
      <c r="F55" s="36" t="s">
        <v>16</v>
      </c>
      <c r="G55" s="45">
        <v>63100</v>
      </c>
      <c r="H55" s="42" t="s">
        <v>206</v>
      </c>
      <c r="I55" s="45" t="s">
        <v>174</v>
      </c>
      <c r="J55" s="45" t="s">
        <v>96</v>
      </c>
      <c r="K55" s="45">
        <v>0</v>
      </c>
      <c r="L55" s="44">
        <v>42370</v>
      </c>
      <c r="M55" s="45">
        <v>4</v>
      </c>
      <c r="N55" s="44">
        <v>45291</v>
      </c>
      <c r="O55" s="41" t="s">
        <v>202</v>
      </c>
    </row>
    <row r="56" spans="1:15" ht="34.5" customHeight="1" thickBot="1" x14ac:dyDescent="0.3">
      <c r="A56" s="62"/>
      <c r="B56" s="62"/>
      <c r="C56" s="36" t="s">
        <v>19</v>
      </c>
      <c r="D56" s="36" t="s">
        <v>20</v>
      </c>
      <c r="E56" s="36" t="s">
        <v>21</v>
      </c>
      <c r="F56" s="36" t="s">
        <v>16</v>
      </c>
      <c r="G56" s="45">
        <v>63200</v>
      </c>
      <c r="H56" s="42" t="s">
        <v>207</v>
      </c>
      <c r="I56" s="45" t="s">
        <v>174</v>
      </c>
      <c r="J56" s="45" t="s">
        <v>96</v>
      </c>
      <c r="K56" s="45">
        <v>0</v>
      </c>
      <c r="L56" s="44">
        <v>42370</v>
      </c>
      <c r="M56" s="45">
        <v>8</v>
      </c>
      <c r="N56" s="44">
        <v>45291</v>
      </c>
      <c r="O56" s="41" t="s">
        <v>202</v>
      </c>
    </row>
    <row r="57" spans="1:15" ht="34.5" thickBot="1" x14ac:dyDescent="0.3">
      <c r="A57" s="62"/>
      <c r="B57" s="57"/>
      <c r="C57" s="36" t="s">
        <v>19</v>
      </c>
      <c r="D57" s="36" t="s">
        <v>20</v>
      </c>
      <c r="E57" s="36" t="s">
        <v>21</v>
      </c>
      <c r="F57" s="36" t="s">
        <v>16</v>
      </c>
      <c r="G57" s="45">
        <v>60000</v>
      </c>
      <c r="H57" s="42" t="s">
        <v>179</v>
      </c>
      <c r="I57" s="45" t="s">
        <v>174</v>
      </c>
      <c r="J57" s="45" t="s">
        <v>101</v>
      </c>
      <c r="K57" s="45">
        <v>0</v>
      </c>
      <c r="L57" s="44">
        <v>42370</v>
      </c>
      <c r="M57" s="45">
        <v>90</v>
      </c>
      <c r="N57" s="44">
        <v>45291</v>
      </c>
      <c r="O57" s="41" t="s">
        <v>202</v>
      </c>
    </row>
    <row r="58" spans="1:15" ht="33" customHeight="1" thickBot="1" x14ac:dyDescent="0.3">
      <c r="A58" s="62"/>
      <c r="B58" s="56" t="s">
        <v>74</v>
      </c>
      <c r="C58" s="36" t="s">
        <v>19</v>
      </c>
      <c r="D58" s="36" t="s">
        <v>20</v>
      </c>
      <c r="E58" s="36" t="s">
        <v>21</v>
      </c>
      <c r="F58" s="36" t="s">
        <v>16</v>
      </c>
      <c r="G58" s="48">
        <v>67010</v>
      </c>
      <c r="H58" s="36" t="s">
        <v>177</v>
      </c>
      <c r="I58" s="48" t="s">
        <v>174</v>
      </c>
      <c r="J58" s="48" t="s">
        <v>96</v>
      </c>
      <c r="K58" s="48" t="s">
        <v>208</v>
      </c>
      <c r="L58" s="44">
        <v>42370</v>
      </c>
      <c r="M58" s="45">
        <v>150</v>
      </c>
      <c r="N58" s="44">
        <v>45291</v>
      </c>
      <c r="O58" s="41" t="s">
        <v>102</v>
      </c>
    </row>
    <row r="59" spans="1:15" ht="33" customHeight="1" thickBot="1" x14ac:dyDescent="0.3">
      <c r="A59" s="62"/>
      <c r="B59" s="62"/>
      <c r="C59" s="36" t="s">
        <v>19</v>
      </c>
      <c r="D59" s="36" t="s">
        <v>20</v>
      </c>
      <c r="E59" s="36" t="s">
        <v>21</v>
      </c>
      <c r="F59" s="36" t="s">
        <v>16</v>
      </c>
      <c r="G59" s="48">
        <v>10213</v>
      </c>
      <c r="H59" s="36" t="s">
        <v>209</v>
      </c>
      <c r="I59" s="48" t="s">
        <v>210</v>
      </c>
      <c r="J59" s="48" t="s">
        <v>101</v>
      </c>
      <c r="K59" s="48">
        <v>0</v>
      </c>
      <c r="L59" s="44">
        <v>42370</v>
      </c>
      <c r="M59" s="45">
        <v>1</v>
      </c>
      <c r="N59" s="44">
        <v>45291</v>
      </c>
      <c r="O59" s="41" t="s">
        <v>102</v>
      </c>
    </row>
    <row r="60" spans="1:15" ht="34.5" customHeight="1" thickBot="1" x14ac:dyDescent="0.3">
      <c r="A60" s="57"/>
      <c r="B60" s="57"/>
      <c r="C60" s="36" t="s">
        <v>19</v>
      </c>
      <c r="D60" s="36" t="s">
        <v>20</v>
      </c>
      <c r="E60" s="36" t="s">
        <v>21</v>
      </c>
      <c r="F60" s="36" t="s">
        <v>16</v>
      </c>
      <c r="G60" s="48">
        <v>10212</v>
      </c>
      <c r="H60" s="36" t="s">
        <v>211</v>
      </c>
      <c r="I60" s="48" t="s">
        <v>210</v>
      </c>
      <c r="J60" s="48" t="s">
        <v>101</v>
      </c>
      <c r="K60" s="48">
        <v>0</v>
      </c>
      <c r="L60" s="44">
        <v>42370</v>
      </c>
      <c r="M60" s="45">
        <v>1</v>
      </c>
      <c r="N60" s="44">
        <v>45291</v>
      </c>
      <c r="O60" s="41" t="s">
        <v>102</v>
      </c>
    </row>
    <row r="61" spans="1:15" ht="33.75" customHeight="1" thickBot="1" x14ac:dyDescent="0.3">
      <c r="A61" s="56" t="s">
        <v>212</v>
      </c>
      <c r="B61" s="56" t="s">
        <v>31</v>
      </c>
      <c r="C61" s="36" t="s">
        <v>17</v>
      </c>
      <c r="D61" s="36" t="s">
        <v>39</v>
      </c>
      <c r="E61" s="36" t="s">
        <v>66</v>
      </c>
      <c r="F61" s="36" t="s">
        <v>65</v>
      </c>
      <c r="G61" s="45">
        <v>93701</v>
      </c>
      <c r="H61" s="42" t="s">
        <v>130</v>
      </c>
      <c r="I61" s="45" t="s">
        <v>131</v>
      </c>
      <c r="J61" s="45" t="s">
        <v>101</v>
      </c>
      <c r="K61" s="45">
        <v>0</v>
      </c>
      <c r="L61" s="44">
        <v>42370</v>
      </c>
      <c r="M61" s="45">
        <v>3</v>
      </c>
      <c r="N61" s="44">
        <v>45291</v>
      </c>
      <c r="O61" s="41" t="s">
        <v>102</v>
      </c>
    </row>
    <row r="62" spans="1:15" ht="33.75" customHeight="1" thickBot="1" x14ac:dyDescent="0.3">
      <c r="A62" s="62"/>
      <c r="B62" s="57"/>
      <c r="C62" s="36" t="s">
        <v>17</v>
      </c>
      <c r="D62" s="36" t="s">
        <v>39</v>
      </c>
      <c r="E62" s="36" t="s">
        <v>66</v>
      </c>
      <c r="F62" s="36" t="s">
        <v>65</v>
      </c>
      <c r="G62" s="45">
        <v>93102</v>
      </c>
      <c r="H62" s="42" t="s">
        <v>213</v>
      </c>
      <c r="I62" s="45" t="s">
        <v>214</v>
      </c>
      <c r="J62" s="45" t="s">
        <v>101</v>
      </c>
      <c r="K62" s="45">
        <v>0</v>
      </c>
      <c r="L62" s="44">
        <v>42370</v>
      </c>
      <c r="M62" s="45">
        <v>2</v>
      </c>
      <c r="N62" s="44">
        <v>45291</v>
      </c>
      <c r="O62" s="41" t="s">
        <v>102</v>
      </c>
    </row>
    <row r="63" spans="1:15" ht="23.25" customHeight="1" thickBot="1" x14ac:dyDescent="0.3">
      <c r="A63" s="57"/>
      <c r="B63" s="55" t="s">
        <v>61</v>
      </c>
      <c r="C63" s="36" t="s">
        <v>17</v>
      </c>
      <c r="D63" s="36" t="s">
        <v>39</v>
      </c>
      <c r="E63" s="36" t="s">
        <v>66</v>
      </c>
      <c r="F63" s="36" t="s">
        <v>67</v>
      </c>
      <c r="G63" s="45">
        <v>92501</v>
      </c>
      <c r="H63" s="42" t="s">
        <v>215</v>
      </c>
      <c r="I63" s="45" t="s">
        <v>216</v>
      </c>
      <c r="J63" s="45" t="s">
        <v>101</v>
      </c>
      <c r="K63" s="45">
        <v>0</v>
      </c>
      <c r="L63" s="44">
        <v>42370</v>
      </c>
      <c r="M63" s="45">
        <v>55473</v>
      </c>
      <c r="N63" s="44">
        <v>45291</v>
      </c>
      <c r="O63" s="41" t="s">
        <v>217</v>
      </c>
    </row>
    <row r="64" spans="1:15" ht="33" customHeight="1" thickBot="1" x14ac:dyDescent="0.3">
      <c r="A64" s="56" t="s">
        <v>63</v>
      </c>
      <c r="B64" s="56" t="s">
        <v>28</v>
      </c>
      <c r="C64" s="36" t="s">
        <v>17</v>
      </c>
      <c r="D64" s="36" t="s">
        <v>39</v>
      </c>
      <c r="E64" s="36" t="s">
        <v>66</v>
      </c>
      <c r="F64" s="36" t="s">
        <v>65</v>
      </c>
      <c r="G64" s="45">
        <v>94800</v>
      </c>
      <c r="H64" s="42" t="s">
        <v>136</v>
      </c>
      <c r="I64" s="45" t="s">
        <v>137</v>
      </c>
      <c r="J64" s="45" t="s">
        <v>96</v>
      </c>
      <c r="K64" s="45">
        <v>0</v>
      </c>
      <c r="L64" s="44">
        <v>42370</v>
      </c>
      <c r="M64" s="45">
        <v>1</v>
      </c>
      <c r="N64" s="44">
        <v>45291</v>
      </c>
      <c r="O64" s="41" t="s">
        <v>102</v>
      </c>
    </row>
    <row r="65" spans="1:15" ht="34.5" thickBot="1" x14ac:dyDescent="0.3">
      <c r="A65" s="62"/>
      <c r="B65" s="57"/>
      <c r="C65" s="36" t="s">
        <v>17</v>
      </c>
      <c r="D65" s="36" t="s">
        <v>39</v>
      </c>
      <c r="E65" s="36" t="s">
        <v>66</v>
      </c>
      <c r="F65" s="36" t="s">
        <v>65</v>
      </c>
      <c r="G65" s="45">
        <v>93701</v>
      </c>
      <c r="H65" s="42" t="s">
        <v>130</v>
      </c>
      <c r="I65" s="45" t="s">
        <v>131</v>
      </c>
      <c r="J65" s="45" t="s">
        <v>101</v>
      </c>
      <c r="K65" s="45">
        <v>0</v>
      </c>
      <c r="L65" s="44">
        <v>42370</v>
      </c>
      <c r="M65" s="45">
        <v>20</v>
      </c>
      <c r="N65" s="44">
        <v>45291</v>
      </c>
      <c r="O65" s="41" t="s">
        <v>102</v>
      </c>
    </row>
    <row r="66" spans="1:15" ht="33.75" customHeight="1" thickBot="1" x14ac:dyDescent="0.3">
      <c r="A66" s="62"/>
      <c r="B66" s="56" t="s">
        <v>29</v>
      </c>
      <c r="C66" s="36" t="s">
        <v>17</v>
      </c>
      <c r="D66" s="36" t="s">
        <v>39</v>
      </c>
      <c r="E66" s="36" t="s">
        <v>66</v>
      </c>
      <c r="F66" s="36" t="s">
        <v>65</v>
      </c>
      <c r="G66" s="45">
        <v>94800</v>
      </c>
      <c r="H66" s="42" t="s">
        <v>136</v>
      </c>
      <c r="I66" s="45" t="s">
        <v>137</v>
      </c>
      <c r="J66" s="45" t="s">
        <v>96</v>
      </c>
      <c r="K66" s="45">
        <v>0</v>
      </c>
      <c r="L66" s="44">
        <v>42370</v>
      </c>
      <c r="M66" s="45">
        <v>1</v>
      </c>
      <c r="N66" s="44">
        <v>45291</v>
      </c>
      <c r="O66" s="41" t="s">
        <v>102</v>
      </c>
    </row>
    <row r="67" spans="1:15" ht="34.5" thickBot="1" x14ac:dyDescent="0.3">
      <c r="A67" s="62"/>
      <c r="B67" s="57"/>
      <c r="C67" s="36" t="s">
        <v>17</v>
      </c>
      <c r="D67" s="36" t="s">
        <v>39</v>
      </c>
      <c r="E67" s="36" t="s">
        <v>66</v>
      </c>
      <c r="F67" s="36" t="s">
        <v>65</v>
      </c>
      <c r="G67" s="45">
        <v>93701</v>
      </c>
      <c r="H67" s="42" t="s">
        <v>130</v>
      </c>
      <c r="I67" s="45" t="s">
        <v>131</v>
      </c>
      <c r="J67" s="45" t="s">
        <v>101</v>
      </c>
      <c r="K67" s="45">
        <v>0</v>
      </c>
      <c r="L67" s="44">
        <v>42370</v>
      </c>
      <c r="M67" s="45">
        <v>3</v>
      </c>
      <c r="N67" s="44">
        <v>45291</v>
      </c>
      <c r="O67" s="41" t="s">
        <v>102</v>
      </c>
    </row>
    <row r="68" spans="1:15" ht="33.75" customHeight="1" thickBot="1" x14ac:dyDescent="0.3">
      <c r="A68" s="62"/>
      <c r="B68" s="56" t="s">
        <v>75</v>
      </c>
      <c r="C68" s="36" t="s">
        <v>17</v>
      </c>
      <c r="D68" s="36" t="s">
        <v>39</v>
      </c>
      <c r="E68" s="36" t="s">
        <v>66</v>
      </c>
      <c r="F68" s="36" t="s">
        <v>65</v>
      </c>
      <c r="G68" s="45">
        <v>94800</v>
      </c>
      <c r="H68" s="42" t="s">
        <v>136</v>
      </c>
      <c r="I68" s="45" t="s">
        <v>137</v>
      </c>
      <c r="J68" s="45" t="s">
        <v>96</v>
      </c>
      <c r="K68" s="45">
        <v>0</v>
      </c>
      <c r="L68" s="44">
        <v>42370</v>
      </c>
      <c r="M68" s="45">
        <v>1</v>
      </c>
      <c r="N68" s="44">
        <v>45291</v>
      </c>
      <c r="O68" s="41" t="s">
        <v>102</v>
      </c>
    </row>
    <row r="69" spans="1:15" ht="34.5" thickBot="1" x14ac:dyDescent="0.3">
      <c r="A69" s="57"/>
      <c r="B69" s="57"/>
      <c r="C69" s="36" t="s">
        <v>17</v>
      </c>
      <c r="D69" s="36" t="s">
        <v>39</v>
      </c>
      <c r="E69" s="36" t="s">
        <v>66</v>
      </c>
      <c r="F69" s="36" t="s">
        <v>65</v>
      </c>
      <c r="G69" s="45">
        <v>93701</v>
      </c>
      <c r="H69" s="42" t="s">
        <v>130</v>
      </c>
      <c r="I69" s="45" t="s">
        <v>131</v>
      </c>
      <c r="J69" s="45" t="s">
        <v>101</v>
      </c>
      <c r="K69" s="45">
        <v>0</v>
      </c>
      <c r="L69" s="44">
        <v>42370</v>
      </c>
      <c r="M69" s="45">
        <v>9</v>
      </c>
      <c r="N69" s="44">
        <v>45291</v>
      </c>
      <c r="O69" s="41" t="s">
        <v>102</v>
      </c>
    </row>
    <row r="79" spans="1:15" x14ac:dyDescent="0.25">
      <c r="J79" s="49"/>
      <c r="K79" s="49"/>
    </row>
    <row r="80" spans="1:15" x14ac:dyDescent="0.25">
      <c r="M80" s="52"/>
    </row>
    <row r="81" spans="3:13" x14ac:dyDescent="0.25">
      <c r="M81" s="52"/>
    </row>
    <row r="82" spans="3:13" x14ac:dyDescent="0.25">
      <c r="M82" s="52"/>
    </row>
    <row r="83" spans="3:13" x14ac:dyDescent="0.25">
      <c r="M83" s="52"/>
    </row>
    <row r="84" spans="3:13" x14ac:dyDescent="0.25">
      <c r="I84" s="53"/>
      <c r="M84" s="52"/>
    </row>
    <row r="85" spans="3:13" x14ac:dyDescent="0.25">
      <c r="M85" s="52"/>
    </row>
    <row r="86" spans="3:13" x14ac:dyDescent="0.25">
      <c r="J86" s="49"/>
    </row>
    <row r="87" spans="3:13" x14ac:dyDescent="0.25">
      <c r="J87" s="49"/>
    </row>
    <row r="88" spans="3:13" x14ac:dyDescent="0.25">
      <c r="C88" s="37"/>
      <c r="J88" s="49"/>
      <c r="K88" s="50"/>
    </row>
    <row r="89" spans="3:13" x14ac:dyDescent="0.25">
      <c r="J89" s="49"/>
      <c r="K89" s="49"/>
    </row>
    <row r="93" spans="3:13" x14ac:dyDescent="0.25">
      <c r="J93" s="49"/>
    </row>
    <row r="94" spans="3:13" x14ac:dyDescent="0.25">
      <c r="J94" s="49"/>
      <c r="L94" s="53"/>
    </row>
    <row r="95" spans="3:13" x14ac:dyDescent="0.25">
      <c r="J95" s="49"/>
    </row>
    <row r="96" spans="3:13" x14ac:dyDescent="0.25">
      <c r="J96" s="49"/>
    </row>
    <row r="97" spans="3:12" x14ac:dyDescent="0.25">
      <c r="J97" s="49"/>
    </row>
    <row r="98" spans="3:12" x14ac:dyDescent="0.25">
      <c r="C98" s="37"/>
      <c r="J98" s="49"/>
      <c r="K98" s="50"/>
    </row>
    <row r="99" spans="3:12" x14ac:dyDescent="0.25">
      <c r="J99" s="49"/>
      <c r="K99" s="49"/>
    </row>
    <row r="103" spans="3:12" x14ac:dyDescent="0.25">
      <c r="J103" s="49"/>
    </row>
    <row r="104" spans="3:12" x14ac:dyDescent="0.25">
      <c r="J104" s="49"/>
      <c r="L104" s="53"/>
    </row>
    <row r="105" spans="3:12" x14ac:dyDescent="0.25">
      <c r="J105" s="49"/>
    </row>
    <row r="106" spans="3:12" x14ac:dyDescent="0.25">
      <c r="J106" s="49"/>
    </row>
    <row r="107" spans="3:12" x14ac:dyDescent="0.25">
      <c r="J107" s="49"/>
    </row>
    <row r="108" spans="3:12" x14ac:dyDescent="0.25">
      <c r="C108" s="37"/>
      <c r="J108" s="49"/>
      <c r="K108" s="50"/>
    </row>
    <row r="109" spans="3:12" x14ac:dyDescent="0.25">
      <c r="J109" s="49"/>
      <c r="K109" s="49"/>
    </row>
    <row r="114" spans="3:12" x14ac:dyDescent="0.25">
      <c r="J114" s="49"/>
    </row>
    <row r="115" spans="3:12" x14ac:dyDescent="0.25">
      <c r="J115" s="49"/>
      <c r="L115" s="53"/>
    </row>
    <row r="116" spans="3:12" x14ac:dyDescent="0.25">
      <c r="J116" s="49"/>
    </row>
    <row r="117" spans="3:12" x14ac:dyDescent="0.25">
      <c r="J117" s="49"/>
    </row>
    <row r="118" spans="3:12" x14ac:dyDescent="0.25">
      <c r="J118" s="49"/>
    </row>
    <row r="119" spans="3:12" x14ac:dyDescent="0.25">
      <c r="C119" s="37"/>
      <c r="J119" s="49"/>
      <c r="K119" s="50"/>
    </row>
    <row r="120" spans="3:12" x14ac:dyDescent="0.25">
      <c r="J120" s="49"/>
      <c r="K120" s="49"/>
    </row>
    <row r="124" spans="3:12" x14ac:dyDescent="0.25">
      <c r="J124" s="49"/>
    </row>
    <row r="125" spans="3:12" x14ac:dyDescent="0.25">
      <c r="C125" s="38"/>
      <c r="J125" s="49"/>
      <c r="L125" s="53"/>
    </row>
    <row r="126" spans="3:12" x14ac:dyDescent="0.25">
      <c r="J126" s="49"/>
    </row>
    <row r="127" spans="3:12" x14ac:dyDescent="0.25">
      <c r="J127" s="49"/>
    </row>
    <row r="128" spans="3:12" x14ac:dyDescent="0.25">
      <c r="J128" s="49"/>
    </row>
    <row r="129" spans="3:12" x14ac:dyDescent="0.25">
      <c r="C129" s="37"/>
      <c r="J129" s="49"/>
      <c r="K129" s="50"/>
    </row>
    <row r="130" spans="3:12" x14ac:dyDescent="0.25">
      <c r="J130" s="49"/>
      <c r="K130" s="49"/>
    </row>
    <row r="134" spans="3:12" x14ac:dyDescent="0.25">
      <c r="J134" s="49"/>
    </row>
    <row r="135" spans="3:12" x14ac:dyDescent="0.25">
      <c r="C135" s="38"/>
      <c r="J135" s="49"/>
      <c r="L135" s="53"/>
    </row>
    <row r="136" spans="3:12" x14ac:dyDescent="0.25">
      <c r="J136" s="49"/>
    </row>
    <row r="137" spans="3:12" x14ac:dyDescent="0.25">
      <c r="J137" s="49"/>
    </row>
    <row r="138" spans="3:12" x14ac:dyDescent="0.25">
      <c r="J138" s="49"/>
    </row>
    <row r="139" spans="3:12" x14ac:dyDescent="0.25">
      <c r="C139" s="37"/>
      <c r="J139" s="49"/>
      <c r="K139" s="50"/>
    </row>
    <row r="140" spans="3:12" x14ac:dyDescent="0.25">
      <c r="J140" s="49"/>
      <c r="K140" s="49"/>
    </row>
    <row r="144" spans="3:12" x14ac:dyDescent="0.25">
      <c r="J144" s="49"/>
    </row>
    <row r="145" spans="3:12" x14ac:dyDescent="0.25">
      <c r="C145" s="38"/>
      <c r="J145" s="49"/>
      <c r="L145" s="53"/>
    </row>
    <row r="146" spans="3:12" x14ac:dyDescent="0.25">
      <c r="J146" s="49"/>
    </row>
    <row r="147" spans="3:12" x14ac:dyDescent="0.25">
      <c r="J147" s="49"/>
    </row>
    <row r="148" spans="3:12" x14ac:dyDescent="0.25">
      <c r="J148" s="49"/>
    </row>
    <row r="149" spans="3:12" x14ac:dyDescent="0.25">
      <c r="C149" s="37"/>
      <c r="J149" s="49"/>
      <c r="K149" s="50"/>
    </row>
    <row r="150" spans="3:12" x14ac:dyDescent="0.25">
      <c r="J150" s="49"/>
      <c r="K150" s="49"/>
    </row>
    <row r="154" spans="3:12" x14ac:dyDescent="0.25">
      <c r="J154" s="49"/>
    </row>
    <row r="155" spans="3:12" x14ac:dyDescent="0.25">
      <c r="C155" s="38"/>
      <c r="J155" s="49"/>
      <c r="L155" s="53"/>
    </row>
    <row r="156" spans="3:12" x14ac:dyDescent="0.25">
      <c r="J156" s="49"/>
    </row>
    <row r="157" spans="3:12" x14ac:dyDescent="0.25">
      <c r="J157" s="49"/>
    </row>
    <row r="158" spans="3:12" x14ac:dyDescent="0.25">
      <c r="J158" s="49"/>
    </row>
    <row r="159" spans="3:12" x14ac:dyDescent="0.25">
      <c r="C159" s="37"/>
      <c r="J159" s="49"/>
      <c r="K159" s="50"/>
    </row>
    <row r="160" spans="3:12" x14ac:dyDescent="0.25">
      <c r="J160" s="49"/>
      <c r="K160" s="49"/>
    </row>
    <row r="164" spans="3:12" x14ac:dyDescent="0.25">
      <c r="J164" s="49"/>
    </row>
    <row r="165" spans="3:12" x14ac:dyDescent="0.25">
      <c r="C165" s="38"/>
      <c r="J165" s="49"/>
      <c r="L165" s="53"/>
    </row>
    <row r="166" spans="3:12" x14ac:dyDescent="0.25">
      <c r="J166" s="49"/>
    </row>
    <row r="167" spans="3:12" x14ac:dyDescent="0.25">
      <c r="J167" s="49"/>
    </row>
    <row r="168" spans="3:12" x14ac:dyDescent="0.25">
      <c r="J168" s="49"/>
    </row>
    <row r="169" spans="3:12" x14ac:dyDescent="0.25">
      <c r="C169" s="37"/>
      <c r="J169" s="49"/>
      <c r="K169" s="50"/>
    </row>
    <row r="170" spans="3:12" x14ac:dyDescent="0.25">
      <c r="J170" s="49"/>
      <c r="K170" s="49"/>
    </row>
    <row r="174" spans="3:12" x14ac:dyDescent="0.25">
      <c r="J174" s="49"/>
    </row>
    <row r="175" spans="3:12" x14ac:dyDescent="0.25">
      <c r="C175" s="38"/>
      <c r="J175" s="49"/>
      <c r="L175" s="53"/>
    </row>
    <row r="176" spans="3:12" x14ac:dyDescent="0.25">
      <c r="J176" s="49"/>
    </row>
    <row r="177" spans="3:12" x14ac:dyDescent="0.25">
      <c r="J177" s="49"/>
    </row>
    <row r="178" spans="3:12" x14ac:dyDescent="0.25">
      <c r="J178" s="49"/>
    </row>
    <row r="179" spans="3:12" x14ac:dyDescent="0.25">
      <c r="C179" s="37"/>
      <c r="J179" s="49"/>
      <c r="K179" s="50"/>
    </row>
    <row r="180" spans="3:12" x14ac:dyDescent="0.25">
      <c r="J180" s="49"/>
      <c r="K180" s="49"/>
    </row>
    <row r="184" spans="3:12" x14ac:dyDescent="0.25">
      <c r="J184" s="49"/>
    </row>
    <row r="185" spans="3:12" x14ac:dyDescent="0.25">
      <c r="C185" s="38"/>
      <c r="J185" s="49"/>
      <c r="L185" s="53"/>
    </row>
    <row r="186" spans="3:12" x14ac:dyDescent="0.25">
      <c r="J186" s="49"/>
    </row>
    <row r="187" spans="3:12" x14ac:dyDescent="0.25">
      <c r="J187" s="49"/>
    </row>
    <row r="188" spans="3:12" x14ac:dyDescent="0.25">
      <c r="J188" s="49"/>
    </row>
    <row r="189" spans="3:12" x14ac:dyDescent="0.25">
      <c r="C189" s="37"/>
      <c r="J189" s="49"/>
      <c r="K189" s="50"/>
    </row>
    <row r="190" spans="3:12" x14ac:dyDescent="0.25">
      <c r="J190" s="49"/>
      <c r="K190" s="49"/>
    </row>
    <row r="194" spans="3:12" x14ac:dyDescent="0.25">
      <c r="J194" s="49"/>
    </row>
    <row r="195" spans="3:12" x14ac:dyDescent="0.25">
      <c r="C195" s="38"/>
      <c r="J195" s="49"/>
      <c r="L195" s="53"/>
    </row>
    <row r="196" spans="3:12" x14ac:dyDescent="0.25">
      <c r="J196" s="49"/>
    </row>
    <row r="197" spans="3:12" x14ac:dyDescent="0.25">
      <c r="J197" s="49"/>
    </row>
    <row r="198" spans="3:12" x14ac:dyDescent="0.25">
      <c r="J198" s="49"/>
    </row>
    <row r="199" spans="3:12" x14ac:dyDescent="0.25">
      <c r="C199" s="37"/>
      <c r="J199" s="49"/>
      <c r="K199" s="50"/>
    </row>
    <row r="200" spans="3:12" x14ac:dyDescent="0.25">
      <c r="J200" s="49"/>
      <c r="K200" s="49"/>
    </row>
    <row r="204" spans="3:12" x14ac:dyDescent="0.25">
      <c r="J204" s="49"/>
    </row>
    <row r="205" spans="3:12" x14ac:dyDescent="0.25">
      <c r="C205" s="38"/>
      <c r="J205" s="49"/>
      <c r="L205" s="53"/>
    </row>
    <row r="206" spans="3:12" x14ac:dyDescent="0.25">
      <c r="J206" s="49"/>
    </row>
    <row r="207" spans="3:12" x14ac:dyDescent="0.25">
      <c r="J207" s="49"/>
    </row>
    <row r="208" spans="3:12" x14ac:dyDescent="0.25">
      <c r="J208" s="49"/>
    </row>
    <row r="209" spans="3:12" x14ac:dyDescent="0.25">
      <c r="C209" s="37"/>
      <c r="J209" s="49"/>
      <c r="K209" s="50"/>
    </row>
    <row r="210" spans="3:12" x14ac:dyDescent="0.25">
      <c r="J210" s="49"/>
      <c r="K210" s="49"/>
    </row>
    <row r="214" spans="3:12" x14ac:dyDescent="0.25">
      <c r="J214" s="49"/>
    </row>
    <row r="215" spans="3:12" x14ac:dyDescent="0.25">
      <c r="C215" s="38"/>
      <c r="J215" s="49"/>
      <c r="L215" s="53"/>
    </row>
    <row r="216" spans="3:12" x14ac:dyDescent="0.25">
      <c r="J216" s="49"/>
    </row>
    <row r="217" spans="3:12" x14ac:dyDescent="0.25">
      <c r="J217" s="49"/>
    </row>
    <row r="218" spans="3:12" x14ac:dyDescent="0.25">
      <c r="J218" s="49"/>
    </row>
    <row r="219" spans="3:12" x14ac:dyDescent="0.25">
      <c r="C219" s="37"/>
      <c r="J219" s="49"/>
      <c r="K219" s="50"/>
    </row>
    <row r="220" spans="3:12" x14ac:dyDescent="0.25">
      <c r="J220" s="49"/>
      <c r="K220" s="49"/>
    </row>
  </sheetData>
  <mergeCells count="49">
    <mergeCell ref="A3:A5"/>
    <mergeCell ref="B3:B5"/>
    <mergeCell ref="C3:F3"/>
    <mergeCell ref="C4:C5"/>
    <mergeCell ref="D4:D5"/>
    <mergeCell ref="E4:E5"/>
    <mergeCell ref="F4:F5"/>
    <mergeCell ref="G4:G5"/>
    <mergeCell ref="O3:O5"/>
    <mergeCell ref="G3:J3"/>
    <mergeCell ref="H4:H5"/>
    <mergeCell ref="I4:I5"/>
    <mergeCell ref="J4:J5"/>
    <mergeCell ref="K3:N3"/>
    <mergeCell ref="K4:K5"/>
    <mergeCell ref="L4:L5"/>
    <mergeCell ref="M4:M5"/>
    <mergeCell ref="N4:N5"/>
    <mergeCell ref="B20:B21"/>
    <mergeCell ref="B25:B26"/>
    <mergeCell ref="B22:B24"/>
    <mergeCell ref="B29:B33"/>
    <mergeCell ref="B6:B10"/>
    <mergeCell ref="B11:B13"/>
    <mergeCell ref="B14:B15"/>
    <mergeCell ref="B16:B17"/>
    <mergeCell ref="B18:B19"/>
    <mergeCell ref="B34:B35"/>
    <mergeCell ref="B27:B28"/>
    <mergeCell ref="B36:B38"/>
    <mergeCell ref="B39:B41"/>
    <mergeCell ref="B42:B46"/>
    <mergeCell ref="A42:A48"/>
    <mergeCell ref="A49:A60"/>
    <mergeCell ref="A61:A63"/>
    <mergeCell ref="A64:A69"/>
    <mergeCell ref="B51:B57"/>
    <mergeCell ref="B49:B50"/>
    <mergeCell ref="B47:B48"/>
    <mergeCell ref="B58:B60"/>
    <mergeCell ref="B61:B62"/>
    <mergeCell ref="B64:B65"/>
    <mergeCell ref="B66:B67"/>
    <mergeCell ref="B68:B69"/>
    <mergeCell ref="A6:A10"/>
    <mergeCell ref="A11:A13"/>
    <mergeCell ref="A14:A26"/>
    <mergeCell ref="A27:A28"/>
    <mergeCell ref="A29:A4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B10" sqref="B1:B1048576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69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0</v>
      </c>
      <c r="H6" s="16">
        <v>0</v>
      </c>
      <c r="I6" s="16">
        <v>0</v>
      </c>
      <c r="J6" s="16">
        <f>G6*0.05*1</f>
        <v>0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0</v>
      </c>
      <c r="H7" s="16">
        <v>0</v>
      </c>
      <c r="I7" s="16">
        <v>0</v>
      </c>
      <c r="J7" s="16">
        <f>G7*0.05*1</f>
        <v>0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0</v>
      </c>
      <c r="H8" s="16">
        <v>0</v>
      </c>
      <c r="I8" s="16">
        <v>0</v>
      </c>
      <c r="J8" s="16">
        <f>G8*0.05*1</f>
        <v>0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0</v>
      </c>
      <c r="H10" s="16">
        <v>0</v>
      </c>
      <c r="I10" s="16">
        <f>H10/3</f>
        <v>0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0</v>
      </c>
      <c r="H15" s="16">
        <v>0</v>
      </c>
      <c r="I15" s="16">
        <v>0</v>
      </c>
      <c r="J15" s="16">
        <f>G15*0.05*1</f>
        <v>0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0</v>
      </c>
      <c r="H17" s="16">
        <f>G17*0.85</f>
        <v>0</v>
      </c>
      <c r="I17" s="16">
        <f>G17*0.12</f>
        <v>0</v>
      </c>
      <c r="J17" s="16">
        <f>G17*0.03*0.5</f>
        <v>0</v>
      </c>
      <c r="K17" s="16">
        <f>G17*0.03*0.5</f>
        <v>0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0</v>
      </c>
      <c r="H18" s="16">
        <f>G18*0.85</f>
        <v>0</v>
      </c>
      <c r="I18" s="16">
        <f>G18*0.11</f>
        <v>0</v>
      </c>
      <c r="J18" s="16">
        <f>G18*0.04*0.5</f>
        <v>0</v>
      </c>
      <c r="K18" s="16">
        <f>G18*0.04*0.5</f>
        <v>0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0</v>
      </c>
      <c r="H19" s="16">
        <v>0</v>
      </c>
      <c r="I19" s="16">
        <v>0</v>
      </c>
      <c r="J19" s="16">
        <f>G19*0.05*0.8</f>
        <v>0</v>
      </c>
      <c r="K19" s="16">
        <f>G19*0.05*0.2</f>
        <v>0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0</v>
      </c>
      <c r="H20" s="16">
        <v>0</v>
      </c>
      <c r="I20" s="16">
        <f>H20/3</f>
        <v>0</v>
      </c>
      <c r="J20" s="16">
        <f>G20*0.15*0</f>
        <v>0</v>
      </c>
      <c r="K20" s="16">
        <f>G20*0.15*1</f>
        <v>0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0</v>
      </c>
      <c r="H21" s="16">
        <v>0</v>
      </c>
      <c r="I21" s="16">
        <v>0</v>
      </c>
      <c r="J21" s="16">
        <f>G21*0.05*0</f>
        <v>0</v>
      </c>
      <c r="K21" s="16">
        <f>G21*0.05*1</f>
        <v>0</v>
      </c>
      <c r="L21" s="16">
        <v>0</v>
      </c>
      <c r="O21" s="6"/>
    </row>
    <row r="22" spans="1:15" ht="15.75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0</v>
      </c>
      <c r="H22" s="16">
        <f>G22*0.85</f>
        <v>0</v>
      </c>
      <c r="I22" s="16">
        <f>G22*0.03</f>
        <v>0</v>
      </c>
      <c r="J22" s="16">
        <f>G22*0.12*0.5</f>
        <v>0</v>
      </c>
      <c r="K22" s="16">
        <f>G22*0.12*0.5</f>
        <v>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0</v>
      </c>
      <c r="H24" s="16">
        <v>0</v>
      </c>
      <c r="I24" s="16">
        <f>H24/3</f>
        <v>0</v>
      </c>
      <c r="J24" s="16">
        <f>G24*0.5*0</f>
        <v>0</v>
      </c>
      <c r="K24" s="16">
        <f>G24*0.5*1</f>
        <v>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0</v>
      </c>
      <c r="H26" s="16">
        <v>0</v>
      </c>
      <c r="I26" s="16">
        <f>H26/3</f>
        <v>0</v>
      </c>
      <c r="J26" s="16">
        <f>G26*0.52*0</f>
        <v>0</v>
      </c>
      <c r="K26" s="16">
        <f>G26*0.52*1</f>
        <v>0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0</v>
      </c>
      <c r="H27" s="16">
        <v>0</v>
      </c>
      <c r="I27" s="16">
        <f>H27/3</f>
        <v>0</v>
      </c>
      <c r="J27" s="16">
        <f>G27*0.55*0</f>
        <v>0</v>
      </c>
      <c r="K27" s="16">
        <f>G27*0.6*1</f>
        <v>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0</v>
      </c>
      <c r="H28" s="16">
        <v>0</v>
      </c>
      <c r="I28" s="16">
        <f>H28/3</f>
        <v>0</v>
      </c>
      <c r="J28" s="16">
        <f>G28*0.6*0</f>
        <v>0</v>
      </c>
      <c r="K28" s="16">
        <f>G28*0.6*1</f>
        <v>0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0</v>
      </c>
      <c r="H29" s="16">
        <f t="shared" ref="H29:K29" si="0">SUM(H6:H28)</f>
        <v>0</v>
      </c>
      <c r="I29" s="16">
        <f t="shared" si="0"/>
        <v>0</v>
      </c>
      <c r="J29" s="16">
        <f t="shared" si="0"/>
        <v>0</v>
      </c>
      <c r="K29" s="16">
        <f t="shared" si="0"/>
        <v>0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0</v>
      </c>
      <c r="G31" s="6">
        <f>SUM(G6:G8)+SUM(G14:G16)+G19+G21</f>
        <v>0</v>
      </c>
      <c r="H31" s="6">
        <f t="shared" ref="H31:K31" si="1">SUM(H6:H8)+SUM(H14:H16)+H19+H21</f>
        <v>0</v>
      </c>
      <c r="I31" s="6">
        <f t="shared" si="1"/>
        <v>0</v>
      </c>
      <c r="J31" s="6">
        <f t="shared" si="1"/>
        <v>0</v>
      </c>
      <c r="K31" s="6">
        <f t="shared" si="1"/>
        <v>0</v>
      </c>
    </row>
    <row r="32" spans="1:15" x14ac:dyDescent="0.25">
      <c r="C32" s="8" t="s">
        <v>17</v>
      </c>
      <c r="E32" s="9">
        <f>G32/'Finanční plán podle SCLLD '!G34*100</f>
        <v>0</v>
      </c>
      <c r="G32" s="6">
        <f>G9+G10+G11+G20+SUM(G24:G28)</f>
        <v>0</v>
      </c>
      <c r="H32" s="6">
        <f t="shared" ref="H32:K32" si="2">H9+H10+H11+H20+SUM(H24:H28)</f>
        <v>0</v>
      </c>
      <c r="I32" s="6">
        <f t="shared" si="2"/>
        <v>0</v>
      </c>
      <c r="J32" s="6">
        <f t="shared" si="2"/>
        <v>0</v>
      </c>
      <c r="K32" s="6">
        <f t="shared" si="2"/>
        <v>0</v>
      </c>
    </row>
    <row r="33" spans="3:11" x14ac:dyDescent="0.25">
      <c r="C33" s="8" t="s">
        <v>19</v>
      </c>
      <c r="E33" s="9">
        <f>G33/'Finanční plán podle SCLLD '!G35*100</f>
        <v>0</v>
      </c>
      <c r="G33" s="6">
        <f>G17+G18++G22+G23</f>
        <v>0</v>
      </c>
      <c r="H33" s="6">
        <f t="shared" ref="H33:K33" si="3">H17+H18++H22+H23</f>
        <v>0</v>
      </c>
      <c r="I33" s="6">
        <f t="shared" si="3"/>
        <v>0</v>
      </c>
      <c r="J33" s="6">
        <f t="shared" si="3"/>
        <v>0</v>
      </c>
      <c r="K33" s="6">
        <f t="shared" si="3"/>
        <v>0</v>
      </c>
    </row>
    <row r="34" spans="3:11" x14ac:dyDescent="0.25">
      <c r="C34" s="8" t="s">
        <v>26</v>
      </c>
      <c r="E34" s="9">
        <f>G34/'Finanční plán podle SCLLD '!G36*100</f>
        <v>0</v>
      </c>
      <c r="G34" s="6">
        <f>G12+G13</f>
        <v>0</v>
      </c>
      <c r="H34" s="6">
        <f t="shared" ref="H34:K34" si="4">H12+H13</f>
        <v>0</v>
      </c>
      <c r="I34" s="6">
        <f t="shared" si="4"/>
        <v>0</v>
      </c>
      <c r="J34" s="6">
        <f t="shared" si="4"/>
        <v>0</v>
      </c>
      <c r="K34" s="6">
        <f t="shared" si="4"/>
        <v>0</v>
      </c>
    </row>
  </sheetData>
  <mergeCells count="18">
    <mergeCell ref="A8:A13"/>
    <mergeCell ref="L3:L5"/>
    <mergeCell ref="D4:D5"/>
    <mergeCell ref="E4:E5"/>
    <mergeCell ref="A3:A5"/>
    <mergeCell ref="B3:B5"/>
    <mergeCell ref="C3:F3"/>
    <mergeCell ref="G3:K3"/>
    <mergeCell ref="C4:C5"/>
    <mergeCell ref="H4:I4"/>
    <mergeCell ref="J4:K4"/>
    <mergeCell ref="F4:F5"/>
    <mergeCell ref="G4:G5"/>
    <mergeCell ref="A15:A18"/>
    <mergeCell ref="A19:A20"/>
    <mergeCell ref="A21:A23"/>
    <mergeCell ref="A24:A25"/>
    <mergeCell ref="A26:A28"/>
  </mergeCells>
  <pageMargins left="0.51181102362204722" right="0.51181102362204722" top="0.78740157480314965" bottom="0.78740157480314965" header="0.31496062992125984" footer="0.31496062992125984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B16" sqref="B1:B1048576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70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0</v>
      </c>
      <c r="H6" s="16">
        <v>0</v>
      </c>
      <c r="I6" s="16">
        <v>0</v>
      </c>
      <c r="J6" s="16">
        <f>G6*0.05*1</f>
        <v>0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0</v>
      </c>
      <c r="H7" s="16">
        <v>0</v>
      </c>
      <c r="I7" s="16">
        <v>0</v>
      </c>
      <c r="J7" s="16">
        <f>G7*0.05*1</f>
        <v>0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0</v>
      </c>
      <c r="H8" s="16">
        <v>0</v>
      </c>
      <c r="I8" s="16">
        <v>0</v>
      </c>
      <c r="J8" s="16">
        <f>G8*0.05*1</f>
        <v>0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0</v>
      </c>
      <c r="H10" s="16">
        <v>0</v>
      </c>
      <c r="I10" s="16">
        <f>H10/3</f>
        <v>0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0</v>
      </c>
      <c r="H15" s="16">
        <v>0</v>
      </c>
      <c r="I15" s="16">
        <v>0</v>
      </c>
      <c r="J15" s="16">
        <f>G15*0.05*1</f>
        <v>0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0</v>
      </c>
      <c r="H17" s="16">
        <f>G17*0.85</f>
        <v>0</v>
      </c>
      <c r="I17" s="16">
        <f>G17*0.12</f>
        <v>0</v>
      </c>
      <c r="J17" s="16">
        <f>G17*0.03*0.5</f>
        <v>0</v>
      </c>
      <c r="K17" s="16">
        <f>G17*0.03*0.5</f>
        <v>0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0</v>
      </c>
      <c r="H18" s="16">
        <f>G18*0.85</f>
        <v>0</v>
      </c>
      <c r="I18" s="16">
        <f>G18*0.11</f>
        <v>0</v>
      </c>
      <c r="J18" s="16">
        <f>G18*0.04*0.5</f>
        <v>0</v>
      </c>
      <c r="K18" s="16">
        <f>G18*0.04*0.5</f>
        <v>0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0</v>
      </c>
      <c r="H19" s="16">
        <v>0</v>
      </c>
      <c r="I19" s="16">
        <v>0</v>
      </c>
      <c r="J19" s="16">
        <f>G19*0.05*0.8</f>
        <v>0</v>
      </c>
      <c r="K19" s="16">
        <f>G19*0.05*0.2</f>
        <v>0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0</v>
      </c>
      <c r="H20" s="16">
        <v>0</v>
      </c>
      <c r="I20" s="16">
        <f>H20/3</f>
        <v>0</v>
      </c>
      <c r="J20" s="16">
        <f>G20*0.15*0</f>
        <v>0</v>
      </c>
      <c r="K20" s="16">
        <f>G20*0.15*1</f>
        <v>0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0</v>
      </c>
      <c r="H21" s="16">
        <v>0</v>
      </c>
      <c r="I21" s="16">
        <v>0</v>
      </c>
      <c r="J21" s="16">
        <f>G21*0.05*0</f>
        <v>0</v>
      </c>
      <c r="K21" s="16">
        <f>G21*0.05*1</f>
        <v>0</v>
      </c>
      <c r="L21" s="16">
        <v>0</v>
      </c>
      <c r="O21" s="6"/>
    </row>
    <row r="22" spans="1:15" ht="15.75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0</v>
      </c>
      <c r="H22" s="16">
        <f>G22*0.85</f>
        <v>0</v>
      </c>
      <c r="I22" s="16">
        <f>G22*0.03</f>
        <v>0</v>
      </c>
      <c r="J22" s="16">
        <f>G22*0.12*0.5</f>
        <v>0</v>
      </c>
      <c r="K22" s="16">
        <f>G22*0.12*0.5</f>
        <v>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0</v>
      </c>
      <c r="H24" s="16">
        <v>0</v>
      </c>
      <c r="I24" s="16">
        <f>H24/3</f>
        <v>0</v>
      </c>
      <c r="J24" s="16">
        <f>G24*0.5*0</f>
        <v>0</v>
      </c>
      <c r="K24" s="16">
        <f>G24*0.5*1</f>
        <v>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0</v>
      </c>
      <c r="H26" s="16">
        <v>0</v>
      </c>
      <c r="I26" s="16">
        <f>H26/3</f>
        <v>0</v>
      </c>
      <c r="J26" s="16">
        <f>G26*0.52*0</f>
        <v>0</v>
      </c>
      <c r="K26" s="16">
        <f>G26*0.52*1</f>
        <v>0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0</v>
      </c>
      <c r="H27" s="16">
        <v>0</v>
      </c>
      <c r="I27" s="16">
        <f>H27/3</f>
        <v>0</v>
      </c>
      <c r="J27" s="16">
        <f>G27*0.55*0</f>
        <v>0</v>
      </c>
      <c r="K27" s="16">
        <f>G27*0.6*1</f>
        <v>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0</v>
      </c>
      <c r="H28" s="16">
        <v>0</v>
      </c>
      <c r="I28" s="16">
        <f>H28/3</f>
        <v>0</v>
      </c>
      <c r="J28" s="16">
        <f>G28*0.6*0</f>
        <v>0</v>
      </c>
      <c r="K28" s="16">
        <f>G28*0.6*1</f>
        <v>0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0</v>
      </c>
      <c r="H29" s="16">
        <f t="shared" ref="H29:K29" si="0">SUM(H6:H28)</f>
        <v>0</v>
      </c>
      <c r="I29" s="16">
        <f t="shared" si="0"/>
        <v>0</v>
      </c>
      <c r="J29" s="16">
        <f t="shared" si="0"/>
        <v>0</v>
      </c>
      <c r="K29" s="16">
        <f t="shared" si="0"/>
        <v>0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0</v>
      </c>
      <c r="G31" s="6">
        <f>SUM(G6:G8)+SUM(G14:G16)+G19+G21</f>
        <v>0</v>
      </c>
      <c r="H31" s="6">
        <f t="shared" ref="H31:K31" si="1">SUM(H6:H8)+SUM(H14:H16)+H19+H21</f>
        <v>0</v>
      </c>
      <c r="I31" s="6">
        <f t="shared" si="1"/>
        <v>0</v>
      </c>
      <c r="J31" s="6">
        <f t="shared" si="1"/>
        <v>0</v>
      </c>
      <c r="K31" s="6">
        <f t="shared" si="1"/>
        <v>0</v>
      </c>
    </row>
    <row r="32" spans="1:15" x14ac:dyDescent="0.25">
      <c r="C32" s="8" t="s">
        <v>17</v>
      </c>
      <c r="E32" s="9">
        <f>G32/'Finanční plán podle SCLLD '!G34*100</f>
        <v>0</v>
      </c>
      <c r="G32" s="6">
        <f>G9+G10+G11+G20+SUM(G24:G28)</f>
        <v>0</v>
      </c>
      <c r="H32" s="6">
        <f t="shared" ref="H32:K32" si="2">H9+H10+H11+H20+SUM(H24:H28)</f>
        <v>0</v>
      </c>
      <c r="I32" s="6">
        <f t="shared" si="2"/>
        <v>0</v>
      </c>
      <c r="J32" s="6">
        <f t="shared" si="2"/>
        <v>0</v>
      </c>
      <c r="K32" s="6">
        <f t="shared" si="2"/>
        <v>0</v>
      </c>
    </row>
    <row r="33" spans="3:11" x14ac:dyDescent="0.25">
      <c r="C33" s="8" t="s">
        <v>19</v>
      </c>
      <c r="E33" s="9">
        <f>G33/'Finanční plán podle SCLLD '!G35*100</f>
        <v>0</v>
      </c>
      <c r="G33" s="6">
        <f>G17+G18++G22+G23</f>
        <v>0</v>
      </c>
      <c r="H33" s="6">
        <f t="shared" ref="H33:K33" si="3">H17+H18++H22+H23</f>
        <v>0</v>
      </c>
      <c r="I33" s="6">
        <f t="shared" si="3"/>
        <v>0</v>
      </c>
      <c r="J33" s="6">
        <f t="shared" si="3"/>
        <v>0</v>
      </c>
      <c r="K33" s="6">
        <f t="shared" si="3"/>
        <v>0</v>
      </c>
    </row>
    <row r="34" spans="3:11" x14ac:dyDescent="0.25">
      <c r="C34" s="8" t="s">
        <v>26</v>
      </c>
      <c r="E34" s="9">
        <f>G34/'Finanční plán podle SCLLD '!G36*100</f>
        <v>0</v>
      </c>
      <c r="G34" s="6">
        <f>G12+G13</f>
        <v>0</v>
      </c>
      <c r="H34" s="6">
        <f t="shared" ref="H34:K34" si="4">H12+H13</f>
        <v>0</v>
      </c>
      <c r="I34" s="6">
        <f t="shared" si="4"/>
        <v>0</v>
      </c>
      <c r="J34" s="6">
        <f t="shared" si="4"/>
        <v>0</v>
      </c>
      <c r="K34" s="6">
        <f t="shared" si="4"/>
        <v>0</v>
      </c>
    </row>
  </sheetData>
  <mergeCells count="18">
    <mergeCell ref="A3:A5"/>
    <mergeCell ref="B3:B5"/>
    <mergeCell ref="A8:A13"/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  <mergeCell ref="A15:A18"/>
    <mergeCell ref="A19:A20"/>
    <mergeCell ref="A21:A23"/>
    <mergeCell ref="A24:A25"/>
    <mergeCell ref="A26:A28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6" workbookViewId="0">
      <selection activeCell="I22" sqref="I22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41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2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3684.2105263157896</v>
      </c>
      <c r="H6" s="16">
        <v>3500</v>
      </c>
      <c r="I6" s="16">
        <v>0</v>
      </c>
      <c r="J6" s="16">
        <f>G6*0.05*1</f>
        <v>184.21052631578948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2736.8421052631579</v>
      </c>
      <c r="H7" s="16">
        <v>2600</v>
      </c>
      <c r="I7" s="16">
        <v>0</v>
      </c>
      <c r="J7" s="16">
        <f>G7*0.05*1</f>
        <v>136.84210526315789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526.31578947368428</v>
      </c>
      <c r="H8" s="16">
        <v>500</v>
      </c>
      <c r="I8" s="16">
        <v>0</v>
      </c>
      <c r="J8" s="16">
        <f>G8*0.05*1</f>
        <v>26.315789473684216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700</v>
      </c>
      <c r="H10" s="16">
        <f>700*0.75</f>
        <v>525</v>
      </c>
      <c r="I10" s="16">
        <f>H10/3</f>
        <v>175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900</v>
      </c>
      <c r="H11" s="16">
        <f>450*0.75</f>
        <v>337.5</v>
      </c>
      <c r="I11" s="16">
        <f>H11/3</f>
        <v>112.5</v>
      </c>
      <c r="J11" s="16">
        <f>G11*0.5*0.6</f>
        <v>270</v>
      </c>
      <c r="K11" s="16">
        <f>G11*0.5*0.4</f>
        <v>180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O13" s="6"/>
    </row>
    <row r="14" spans="1:15" ht="34.5" thickBot="1" x14ac:dyDescent="0.3">
      <c r="A14" s="13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1052.6315789473686</v>
      </c>
      <c r="H14" s="16">
        <v>1000</v>
      </c>
      <c r="I14" s="16">
        <v>0</v>
      </c>
      <c r="J14" s="16">
        <f>G14*0.05*0</f>
        <v>0</v>
      </c>
      <c r="K14" s="16">
        <f>G14*0.05*1</f>
        <v>52.631578947368432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4210.5263157894742</v>
      </c>
      <c r="H15" s="16">
        <v>4000</v>
      </c>
      <c r="I15" s="16">
        <v>0</v>
      </c>
      <c r="J15" s="16">
        <f>G15*0.05*1</f>
        <v>210.52631578947373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1052.6315789473686</v>
      </c>
      <c r="H16" s="16">
        <v>1000</v>
      </c>
      <c r="I16" s="16">
        <v>0</v>
      </c>
      <c r="J16" s="16">
        <f>G16*0.05*0.5</f>
        <v>26.315789473684216</v>
      </c>
      <c r="K16" s="16">
        <f>G16*0.05*0.5</f>
        <v>26.315789473684216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1000</v>
      </c>
      <c r="H17" s="16">
        <f>G17*0.85</f>
        <v>850</v>
      </c>
      <c r="I17" s="16">
        <f>G17*0.12</f>
        <v>120</v>
      </c>
      <c r="J17" s="16">
        <f>G17*0.03*0.5</f>
        <v>15</v>
      </c>
      <c r="K17" s="16">
        <f>G17*0.03*0.5</f>
        <v>15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2000</v>
      </c>
      <c r="H18" s="16">
        <f>G18*0.85</f>
        <v>1700</v>
      </c>
      <c r="I18" s="16">
        <f>G18*0.11</f>
        <v>220</v>
      </c>
      <c r="J18" s="16">
        <f>G18*0.04*0.5</f>
        <v>40</v>
      </c>
      <c r="K18" s="16">
        <f>G18*0.04*0.5</f>
        <v>40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3157.894736842105</v>
      </c>
      <c r="H19" s="16">
        <v>3000</v>
      </c>
      <c r="I19" s="16">
        <v>0</v>
      </c>
      <c r="J19" s="16">
        <f>G19*0.05*0.8</f>
        <v>126.31578947368422</v>
      </c>
      <c r="K19" s="16">
        <f>G19*0.05*0.2</f>
        <v>31.578947368421055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147.05882352941177</v>
      </c>
      <c r="H20" s="16">
        <f>125*0.75</f>
        <v>93.75</v>
      </c>
      <c r="I20" s="16">
        <f>H20/3</f>
        <v>31.25</v>
      </c>
      <c r="J20" s="16">
        <f>G20*0.15*0</f>
        <v>0</v>
      </c>
      <c r="K20" s="16">
        <f>G20*0.15*1</f>
        <v>22.058823529411764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1052.6315789473686</v>
      </c>
      <c r="H21" s="16">
        <v>1000</v>
      </c>
      <c r="I21" s="16">
        <v>0</v>
      </c>
      <c r="J21" s="16">
        <f>G21*0.05*0</f>
        <v>0</v>
      </c>
      <c r="K21" s="16">
        <f>G21*0.05*1</f>
        <v>52.631578947368432</v>
      </c>
      <c r="L21" s="16">
        <v>0</v>
      </c>
      <c r="O21" s="6"/>
    </row>
    <row r="22" spans="1:15" ht="15.75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2000</v>
      </c>
      <c r="H22" s="16">
        <f>G22*0.85</f>
        <v>1700</v>
      </c>
      <c r="I22" s="16">
        <f>G22*0.03</f>
        <v>60</v>
      </c>
      <c r="J22" s="16">
        <f>G22*0.12*0.5</f>
        <v>120</v>
      </c>
      <c r="K22" s="16">
        <f>G22*0.12*0.5</f>
        <v>120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0</v>
      </c>
      <c r="H24" s="16">
        <v>0</v>
      </c>
      <c r="I24" s="16">
        <f>H24/3</f>
        <v>0</v>
      </c>
      <c r="J24" s="16">
        <f>G24*0.5*0</f>
        <v>0</v>
      </c>
      <c r="K24" s="16">
        <f>G24*0.5*1</f>
        <v>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f>(H25+I25)/80*100</f>
        <v>375</v>
      </c>
      <c r="H25" s="16">
        <f>300*0.75</f>
        <v>225</v>
      </c>
      <c r="I25" s="16">
        <f>H25/3</f>
        <v>75</v>
      </c>
      <c r="J25" s="16">
        <f>G25*0.2*0</f>
        <v>0</v>
      </c>
      <c r="K25" s="16">
        <f>G25*0.2*1</f>
        <v>75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8333.3333333333321</v>
      </c>
      <c r="H26" s="16">
        <f>4000*0.75</f>
        <v>3000</v>
      </c>
      <c r="I26" s="16">
        <f>H26/3</f>
        <v>1000</v>
      </c>
      <c r="J26" s="16">
        <f>G26*0.52*0</f>
        <v>0</v>
      </c>
      <c r="K26" s="16">
        <f>G26*0.52*1</f>
        <v>4333.333333333333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5000</v>
      </c>
      <c r="H27" s="16">
        <f>2000*0.75</f>
        <v>1500</v>
      </c>
      <c r="I27" s="16">
        <f>H27/3</f>
        <v>500</v>
      </c>
      <c r="J27" s="16">
        <f>G27*0.55*0</f>
        <v>0</v>
      </c>
      <c r="K27" s="16">
        <f>G27*0.6*1</f>
        <v>3000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4500</v>
      </c>
      <c r="H28" s="16">
        <f>1800*0.75</f>
        <v>1350</v>
      </c>
      <c r="I28" s="16">
        <f>H28/3</f>
        <v>450</v>
      </c>
      <c r="J28" s="16">
        <f>G28*0.6*0</f>
        <v>0</v>
      </c>
      <c r="K28" s="16">
        <f>G28*0.6*1</f>
        <v>2700</v>
      </c>
      <c r="L28" s="16">
        <v>0</v>
      </c>
      <c r="O28" s="6"/>
    </row>
    <row r="29" spans="1:15" ht="15.75" thickBot="1" x14ac:dyDescent="0.3">
      <c r="A29" s="12" t="s">
        <v>6</v>
      </c>
      <c r="B29" s="1"/>
      <c r="C29" s="1"/>
      <c r="D29" s="1"/>
      <c r="E29" s="1"/>
      <c r="F29" s="1"/>
      <c r="G29" s="16">
        <f>SUM(G6:G28)</f>
        <v>42429.076367389061</v>
      </c>
      <c r="H29" s="16">
        <f t="shared" ref="H29:K29" si="0">SUM(H6:H28)</f>
        <v>27881.25</v>
      </c>
      <c r="I29" s="16">
        <f t="shared" si="0"/>
        <v>2743.75</v>
      </c>
      <c r="J29" s="16">
        <f t="shared" si="0"/>
        <v>1155.5263157894738</v>
      </c>
      <c r="K29" s="16">
        <f t="shared" si="0"/>
        <v>10648.550051599588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34.858570798597263</v>
      </c>
      <c r="G31" s="6">
        <f>SUM(G6:G8)+SUM(G14:G16)+G19+G21</f>
        <v>17473.684210526317</v>
      </c>
      <c r="H31" s="6">
        <f t="shared" ref="H31:K31" si="1">SUM(H6:H8)+SUM(H14:H16)+H19+H21</f>
        <v>16600</v>
      </c>
      <c r="I31" s="6">
        <f t="shared" si="1"/>
        <v>0</v>
      </c>
      <c r="J31" s="6">
        <f t="shared" si="1"/>
        <v>710.52631578947376</v>
      </c>
      <c r="K31" s="6">
        <f t="shared" si="1"/>
        <v>163.15789473684214</v>
      </c>
    </row>
    <row r="32" spans="1:15" x14ac:dyDescent="0.25">
      <c r="C32" s="8" t="s">
        <v>17</v>
      </c>
      <c r="E32" s="9">
        <f>G32/'Finanční plán podle SCLLD '!G34*100</f>
        <v>35.008978204634261</v>
      </c>
      <c r="G32" s="6">
        <f>G9+G10+G11+G20+SUM(G24:G28)</f>
        <v>19955.392156862745</v>
      </c>
      <c r="H32" s="6">
        <f t="shared" ref="H32:K32" si="2">H9+H10+H11+H20+SUM(H24:H28)</f>
        <v>7031.25</v>
      </c>
      <c r="I32" s="6">
        <f t="shared" si="2"/>
        <v>2343.75</v>
      </c>
      <c r="J32" s="6">
        <f t="shared" si="2"/>
        <v>270</v>
      </c>
      <c r="K32" s="6">
        <f t="shared" si="2"/>
        <v>10310.392156862745</v>
      </c>
    </row>
    <row r="33" spans="3:11" x14ac:dyDescent="0.25">
      <c r="C33" s="8" t="s">
        <v>19</v>
      </c>
      <c r="E33" s="9">
        <f>G33/'Finanční plán podle SCLLD '!G35*100</f>
        <v>40.322580645161288</v>
      </c>
      <c r="G33" s="6">
        <f>G17+G18++G22+G23</f>
        <v>5000</v>
      </c>
      <c r="H33" s="6">
        <f t="shared" ref="H33:K33" si="3">H17+H18++H22+H23</f>
        <v>4250</v>
      </c>
      <c r="I33" s="6">
        <f t="shared" si="3"/>
        <v>400</v>
      </c>
      <c r="J33" s="6">
        <f t="shared" si="3"/>
        <v>175</v>
      </c>
      <c r="K33" s="6">
        <f t="shared" si="3"/>
        <v>175</v>
      </c>
    </row>
    <row r="34" spans="3:11" x14ac:dyDescent="0.25">
      <c r="C34" s="8" t="s">
        <v>26</v>
      </c>
      <c r="E34" s="9">
        <f>G34/'Finanční plán podle SCLLD '!G36*100</f>
        <v>0</v>
      </c>
      <c r="G34" s="6">
        <f>G12+G13</f>
        <v>0</v>
      </c>
      <c r="H34" s="6">
        <f t="shared" ref="H34:K34" si="4">H12+H13</f>
        <v>0</v>
      </c>
      <c r="I34" s="6">
        <f t="shared" si="4"/>
        <v>0</v>
      </c>
      <c r="J34" s="6">
        <f t="shared" si="4"/>
        <v>0</v>
      </c>
      <c r="K34" s="6">
        <f t="shared" si="4"/>
        <v>0</v>
      </c>
    </row>
  </sheetData>
  <sortState ref="B7:M28">
    <sortCondition ref="M28"/>
  </sortState>
  <mergeCells count="18"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  <mergeCell ref="A3:A5"/>
    <mergeCell ref="B3:B5"/>
    <mergeCell ref="A21:A23"/>
    <mergeCell ref="A24:A25"/>
    <mergeCell ref="A26:A28"/>
    <mergeCell ref="A8:A13"/>
    <mergeCell ref="A15:A18"/>
    <mergeCell ref="A19:A20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I22" sqref="I22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42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2631.5789473684208</v>
      </c>
      <c r="H6" s="16">
        <v>2500</v>
      </c>
      <c r="I6" s="16">
        <v>0</v>
      </c>
      <c r="J6" s="16">
        <f>G6*0.05*1</f>
        <v>131.57894736842104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1074.7368421052631</v>
      </c>
      <c r="H7" s="16">
        <v>1021</v>
      </c>
      <c r="I7" s="16">
        <v>0</v>
      </c>
      <c r="J7" s="16">
        <f>G7*0.05*1</f>
        <v>53.736842105263158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0</v>
      </c>
      <c r="H8" s="16">
        <v>0</v>
      </c>
      <c r="I8" s="16">
        <v>0</v>
      </c>
      <c r="J8" s="16">
        <f>G8*0.05*1</f>
        <v>0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750</v>
      </c>
      <c r="H10" s="16">
        <f>750*0.75</f>
        <v>562.5</v>
      </c>
      <c r="I10" s="16">
        <f>H10/3</f>
        <v>187.5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v>0</v>
      </c>
      <c r="H12" s="16">
        <v>0</v>
      </c>
      <c r="I12" s="16">
        <f>H12/3</f>
        <v>0</v>
      </c>
      <c r="J12" s="16">
        <f>G12*0*0.8</f>
        <v>0</v>
      </c>
      <c r="K12" s="16">
        <f>G12*0*0.2</f>
        <v>0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v>0</v>
      </c>
      <c r="H13" s="16">
        <v>0</v>
      </c>
      <c r="I13" s="16">
        <f>H13/3</f>
        <v>0</v>
      </c>
      <c r="J13" s="16">
        <f>G13*0*0.8</f>
        <v>0</v>
      </c>
      <c r="K13" s="16">
        <f>G13*0*0.2</f>
        <v>0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4210.5263157894742</v>
      </c>
      <c r="H15" s="16">
        <v>4000</v>
      </c>
      <c r="I15" s="16">
        <v>0</v>
      </c>
      <c r="J15" s="16">
        <f>G15*0.05*1</f>
        <v>210.52631578947373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0</v>
      </c>
      <c r="H17" s="16">
        <f>G17*0.85</f>
        <v>0</v>
      </c>
      <c r="I17" s="16">
        <f>G17*0.12</f>
        <v>0</v>
      </c>
      <c r="J17" s="16">
        <f>G17*0.03*0.5</f>
        <v>0</v>
      </c>
      <c r="K17" s="16">
        <f>G17*0.03*0.5</f>
        <v>0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1000</v>
      </c>
      <c r="H18" s="16">
        <f>G18*0.85</f>
        <v>850</v>
      </c>
      <c r="I18" s="16">
        <f>G18*0.11</f>
        <v>110</v>
      </c>
      <c r="J18" s="16">
        <f>G18*0.04*0.5</f>
        <v>20</v>
      </c>
      <c r="K18" s="16">
        <f>G18*0.04*0.5</f>
        <v>20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2105.2631578947371</v>
      </c>
      <c r="H19" s="16">
        <v>2000</v>
      </c>
      <c r="I19" s="16">
        <v>0</v>
      </c>
      <c r="J19" s="16">
        <f>G19*0.05*0.8</f>
        <v>84.210526315789494</v>
      </c>
      <c r="K19" s="16">
        <f>G19*0.05*0.2</f>
        <v>21.052631578947373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0</v>
      </c>
      <c r="H20" s="16">
        <v>0</v>
      </c>
      <c r="I20" s="16">
        <f>H20/3</f>
        <v>0</v>
      </c>
      <c r="J20" s="16">
        <f>G20*0.15*0</f>
        <v>0</v>
      </c>
      <c r="K20" s="16">
        <f>G20*0.15*1</f>
        <v>0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1052.6315789473686</v>
      </c>
      <c r="H21" s="16">
        <v>1000</v>
      </c>
      <c r="I21" s="16">
        <v>0</v>
      </c>
      <c r="J21" s="16">
        <f>G21*0.05*0</f>
        <v>0</v>
      </c>
      <c r="K21" s="16">
        <f>G21*0.05*1</f>
        <v>52.631578947368432</v>
      </c>
      <c r="L21" s="16">
        <v>0</v>
      </c>
      <c r="O21" s="6"/>
    </row>
    <row r="22" spans="1:15" ht="15.75" customHeight="1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340</v>
      </c>
      <c r="H22" s="16">
        <f>G22*0.85</f>
        <v>289</v>
      </c>
      <c r="I22" s="16">
        <f>G22*0.03</f>
        <v>10.199999999999999</v>
      </c>
      <c r="J22" s="16">
        <f>G22*0.12*0.5</f>
        <v>20.399999999999999</v>
      </c>
      <c r="K22" s="16">
        <f>G22*0.12*0.5</f>
        <v>20.399999999999999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250</v>
      </c>
      <c r="H24" s="16">
        <f>125*0.75</f>
        <v>93.75</v>
      </c>
      <c r="I24" s="16">
        <f>H24/3</f>
        <v>31.25</v>
      </c>
      <c r="J24" s="16">
        <f>G24*0.5*0</f>
        <v>0</v>
      </c>
      <c r="K24" s="16">
        <f>G24*0.5*1</f>
        <v>125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f>(H25+I25)/80*100</f>
        <v>750</v>
      </c>
      <c r="H25" s="16">
        <f>600*0.75</f>
        <v>450</v>
      </c>
      <c r="I25" s="16">
        <f>H25/3</f>
        <v>150</v>
      </c>
      <c r="J25" s="16">
        <f>G25*0.2*0</f>
        <v>0</v>
      </c>
      <c r="K25" s="16">
        <f>G25*0.2*1</f>
        <v>150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4166.6666666666661</v>
      </c>
      <c r="H26" s="16">
        <f>2000*0.75</f>
        <v>1500</v>
      </c>
      <c r="I26" s="16">
        <f>H26/3</f>
        <v>500</v>
      </c>
      <c r="J26" s="16">
        <f>G26*0.52*0</f>
        <v>0</v>
      </c>
      <c r="K26" s="16">
        <f>G26*0.52*1</f>
        <v>2166.6666666666665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0</v>
      </c>
      <c r="H27" s="16">
        <v>0</v>
      </c>
      <c r="I27" s="16">
        <f>H27/3</f>
        <v>0</v>
      </c>
      <c r="J27" s="16">
        <f>G27*0.55*0</f>
        <v>0</v>
      </c>
      <c r="K27" s="16">
        <f>G27*0.6*1</f>
        <v>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2750</v>
      </c>
      <c r="H28" s="16">
        <f>1100*0.75</f>
        <v>825</v>
      </c>
      <c r="I28" s="16">
        <f>H28/3</f>
        <v>275</v>
      </c>
      <c r="J28" s="16">
        <f>G28*0.6*0</f>
        <v>0</v>
      </c>
      <c r="K28" s="16">
        <f>G28*0.6*1</f>
        <v>1650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21081.403508771931</v>
      </c>
      <c r="H29" s="16">
        <f t="shared" ref="H29:K29" si="0">SUM(H6:H28)</f>
        <v>15091.25</v>
      </c>
      <c r="I29" s="16">
        <f t="shared" si="0"/>
        <v>1263.95</v>
      </c>
      <c r="J29" s="16">
        <f t="shared" si="0"/>
        <v>520.45263157894738</v>
      </c>
      <c r="K29" s="16">
        <f t="shared" si="0"/>
        <v>4205.7508771929824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22.093194179038658</v>
      </c>
      <c r="G31" s="6">
        <f>SUM(G6:G8)+SUM(G14:G16)+G19+G21</f>
        <v>11074.736842105263</v>
      </c>
      <c r="H31" s="6">
        <f t="shared" ref="H31:K31" si="1">SUM(H6:H8)+SUM(H14:H16)+H19+H21</f>
        <v>10521</v>
      </c>
      <c r="I31" s="6">
        <f t="shared" si="1"/>
        <v>0</v>
      </c>
      <c r="J31" s="6">
        <f t="shared" si="1"/>
        <v>480.0526315789474</v>
      </c>
      <c r="K31" s="6">
        <f t="shared" si="1"/>
        <v>73.684210526315809</v>
      </c>
    </row>
    <row r="32" spans="1:15" x14ac:dyDescent="0.25">
      <c r="C32" s="8" t="s">
        <v>17</v>
      </c>
      <c r="E32" s="9">
        <f>G32/'Finanční plán podle SCLLD '!G34*100</f>
        <v>15.204469150751276</v>
      </c>
      <c r="G32" s="6">
        <f>G9+G10+G11+G20+SUM(G24:G28)</f>
        <v>8666.6666666666661</v>
      </c>
      <c r="H32" s="6">
        <f t="shared" ref="H32:K32" si="2">H9+H10+H11+H20+SUM(H24:H28)</f>
        <v>3431.25</v>
      </c>
      <c r="I32" s="6">
        <f t="shared" si="2"/>
        <v>1143.75</v>
      </c>
      <c r="J32" s="6">
        <f t="shared" si="2"/>
        <v>0</v>
      </c>
      <c r="K32" s="6">
        <f t="shared" si="2"/>
        <v>4091.6666666666665</v>
      </c>
    </row>
    <row r="33" spans="3:11" x14ac:dyDescent="0.25">
      <c r="C33" s="8" t="s">
        <v>19</v>
      </c>
      <c r="E33" s="9">
        <f>G33/'Finanční plán podle SCLLD '!G35*100</f>
        <v>10.806451612903226</v>
      </c>
      <c r="G33" s="6">
        <f>G17+G18++G22+G23</f>
        <v>1340</v>
      </c>
      <c r="H33" s="6">
        <f t="shared" ref="H33:K33" si="3">H17+H18++H22+H23</f>
        <v>1139</v>
      </c>
      <c r="I33" s="6">
        <f t="shared" si="3"/>
        <v>120.2</v>
      </c>
      <c r="J33" s="6">
        <f t="shared" si="3"/>
        <v>40.4</v>
      </c>
      <c r="K33" s="6">
        <f t="shared" si="3"/>
        <v>40.4</v>
      </c>
    </row>
    <row r="34" spans="3:11" x14ac:dyDescent="0.25">
      <c r="C34" s="8" t="s">
        <v>26</v>
      </c>
      <c r="E34" s="9">
        <f>G34/'Finanční plán podle SCLLD '!G36*100</f>
        <v>0</v>
      </c>
      <c r="G34" s="6">
        <f>G12+G13</f>
        <v>0</v>
      </c>
      <c r="H34" s="6">
        <f t="shared" ref="H34:K34" si="4">H12+H13</f>
        <v>0</v>
      </c>
      <c r="I34" s="6">
        <f t="shared" si="4"/>
        <v>0</v>
      </c>
      <c r="J34" s="6">
        <f t="shared" si="4"/>
        <v>0</v>
      </c>
      <c r="K34" s="6">
        <f t="shared" si="4"/>
        <v>0</v>
      </c>
    </row>
  </sheetData>
  <sortState ref="B6:M30">
    <sortCondition ref="M6"/>
  </sortState>
  <mergeCells count="18">
    <mergeCell ref="A21:A23"/>
    <mergeCell ref="A24:A25"/>
    <mergeCell ref="A26:A28"/>
    <mergeCell ref="A3:A5"/>
    <mergeCell ref="B3:B5"/>
    <mergeCell ref="A8:A13"/>
    <mergeCell ref="A15:A18"/>
    <mergeCell ref="A19:A20"/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H14" sqref="H14"/>
    </sheetView>
  </sheetViews>
  <sheetFormatPr defaultRowHeight="15" x14ac:dyDescent="0.25"/>
  <cols>
    <col min="1" max="1" width="27.140625" customWidth="1"/>
    <col min="2" max="2" width="15.140625" customWidth="1"/>
    <col min="3" max="3" width="7.140625" customWidth="1"/>
    <col min="4" max="4" width="8.140625" customWidth="1"/>
    <col min="5" max="5" width="7.7109375" customWidth="1"/>
    <col min="6" max="6" width="8.28515625" customWidth="1"/>
    <col min="7" max="7" width="8.42578125" customWidth="1"/>
    <col min="8" max="8" width="7.7109375" customWidth="1"/>
    <col min="9" max="9" width="7.28515625" customWidth="1"/>
    <col min="10" max="10" width="7.140625" customWidth="1"/>
    <col min="11" max="11" width="7.7109375" customWidth="1"/>
    <col min="12" max="12" width="6.5703125" customWidth="1"/>
    <col min="14" max="14" width="10.85546875" bestFit="1" customWidth="1"/>
  </cols>
  <sheetData>
    <row r="1" spans="1:15" x14ac:dyDescent="0.25">
      <c r="A1" s="5" t="s">
        <v>43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2631.5789473684208</v>
      </c>
      <c r="H6" s="16">
        <v>2500</v>
      </c>
      <c r="I6" s="16">
        <v>0</v>
      </c>
      <c r="J6" s="16">
        <f>G6*0.05*1</f>
        <v>131.57894736842104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0</v>
      </c>
      <c r="H7" s="16">
        <v>0</v>
      </c>
      <c r="I7" s="16">
        <v>0</v>
      </c>
      <c r="J7" s="16">
        <f>G7*0.05*1</f>
        <v>0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1052.6315789473686</v>
      </c>
      <c r="H8" s="16">
        <v>1000</v>
      </c>
      <c r="I8" s="16">
        <v>0</v>
      </c>
      <c r="J8" s="16">
        <f>G8*0.05*1</f>
        <v>52.631578947368432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687.5</v>
      </c>
      <c r="H9" s="16">
        <f>550*0.75</f>
        <v>412.5</v>
      </c>
      <c r="I9" s="16">
        <f>H9/3</f>
        <v>137.5</v>
      </c>
      <c r="J9" s="16">
        <f>G9*0.2*0.8</f>
        <v>110</v>
      </c>
      <c r="K9" s="16">
        <f>G9*0.2*0.2</f>
        <v>27.5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0</v>
      </c>
      <c r="H10" s="16">
        <v>0</v>
      </c>
      <c r="I10" s="16">
        <f>H10/3</f>
        <v>0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33.75" customHeight="1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f>(H12+I12)/85*100</f>
        <v>400</v>
      </c>
      <c r="H12" s="16">
        <v>340</v>
      </c>
      <c r="I12" s="16">
        <v>0</v>
      </c>
      <c r="J12" s="16">
        <f>G12*0.09</f>
        <v>36</v>
      </c>
      <c r="K12" s="16">
        <f>G12*0.06</f>
        <v>24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f>(H13+I13)/85*100</f>
        <v>400</v>
      </c>
      <c r="H13" s="16">
        <v>340</v>
      </c>
      <c r="I13" s="16">
        <v>0</v>
      </c>
      <c r="J13" s="16">
        <f>G13*0.09</f>
        <v>36</v>
      </c>
      <c r="K13" s="16">
        <f>G13*0.06</f>
        <v>24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35.2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1052.6315789473686</v>
      </c>
      <c r="H15" s="16">
        <v>1000</v>
      </c>
      <c r="I15" s="16">
        <v>0</v>
      </c>
      <c r="J15" s="16">
        <f>G15*0.05*1</f>
        <v>52.631578947368432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0</v>
      </c>
      <c r="H17" s="16">
        <f>G17*0.85</f>
        <v>0</v>
      </c>
      <c r="I17" s="16">
        <f>G17*0.12</f>
        <v>0</v>
      </c>
      <c r="J17" s="16">
        <f>G17*0.03*0.5</f>
        <v>0</v>
      </c>
      <c r="K17" s="16">
        <f>G17*0.03*0.5</f>
        <v>0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1000</v>
      </c>
      <c r="H18" s="16">
        <f>G18*0.85</f>
        <v>850</v>
      </c>
      <c r="I18" s="16">
        <f>G18*0.11</f>
        <v>110</v>
      </c>
      <c r="J18" s="16">
        <f>G18*0.04*0.5</f>
        <v>20</v>
      </c>
      <c r="K18" s="16">
        <f>G18*0.04*0.5</f>
        <v>20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1052.6315789473686</v>
      </c>
      <c r="H19" s="16">
        <v>1000</v>
      </c>
      <c r="I19" s="16">
        <v>0</v>
      </c>
      <c r="J19" s="16">
        <f>G19*0.05*0.8</f>
        <v>42.105263157894747</v>
      </c>
      <c r="K19" s="16">
        <f>G19*0.05*0.2</f>
        <v>10.526315789473687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0</v>
      </c>
      <c r="H20" s="16">
        <v>0</v>
      </c>
      <c r="I20" s="16">
        <f>H20/3</f>
        <v>0</v>
      </c>
      <c r="J20" s="16">
        <f>G20*0.15*0</f>
        <v>0</v>
      </c>
      <c r="K20" s="16">
        <f>G20*0.15*1</f>
        <v>0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0</v>
      </c>
      <c r="H21" s="16">
        <v>0</v>
      </c>
      <c r="I21" s="16">
        <v>0</v>
      </c>
      <c r="J21" s="16">
        <f>G21*0.05*0</f>
        <v>0</v>
      </c>
      <c r="K21" s="16">
        <f>G21*0.05*1</f>
        <v>0</v>
      </c>
      <c r="L21" s="16">
        <v>0</v>
      </c>
      <c r="O21" s="6"/>
    </row>
    <row r="22" spans="1:15" ht="15.75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1000</v>
      </c>
      <c r="H22" s="16">
        <f>G22*0.85</f>
        <v>850</v>
      </c>
      <c r="I22" s="16">
        <f>G22*0.03</f>
        <v>30</v>
      </c>
      <c r="J22" s="16">
        <f>G22*0.12*0.5</f>
        <v>60</v>
      </c>
      <c r="K22" s="16">
        <f>G22*0.12*0.5</f>
        <v>60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0</v>
      </c>
      <c r="H24" s="16">
        <v>0</v>
      </c>
      <c r="I24" s="16">
        <f>H24/3</f>
        <v>0</v>
      </c>
      <c r="J24" s="16">
        <f>G24*0.5*0</f>
        <v>0</v>
      </c>
      <c r="K24" s="16">
        <f>G24*0.5*1</f>
        <v>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4583.3333333333339</v>
      </c>
      <c r="H26" s="16">
        <f>2200*0.75</f>
        <v>1650</v>
      </c>
      <c r="I26" s="16">
        <f>H26/3</f>
        <v>550</v>
      </c>
      <c r="J26" s="16">
        <f>G26*0.52*0</f>
        <v>0</v>
      </c>
      <c r="K26" s="16">
        <f>G26*0.52*1</f>
        <v>2383.3333333333339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0</v>
      </c>
      <c r="H27" s="16">
        <v>0</v>
      </c>
      <c r="I27" s="16">
        <f>H27/3</f>
        <v>0</v>
      </c>
      <c r="J27" s="16">
        <f>G27*0.55*0</f>
        <v>0</v>
      </c>
      <c r="K27" s="16">
        <f>G27*0.6*1</f>
        <v>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1627.4999999999998</v>
      </c>
      <c r="H28" s="16">
        <f>651*0.75</f>
        <v>488.25</v>
      </c>
      <c r="I28" s="16">
        <f>H28/3</f>
        <v>162.75</v>
      </c>
      <c r="J28" s="16">
        <f>G28*0.6*0</f>
        <v>0</v>
      </c>
      <c r="K28" s="16">
        <f>G28*0.6*1</f>
        <v>976.49999999999977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15487.807017543861</v>
      </c>
      <c r="H29" s="16">
        <f t="shared" ref="H29:K29" si="0">SUM(H6:H28)</f>
        <v>10430.75</v>
      </c>
      <c r="I29" s="16">
        <f t="shared" si="0"/>
        <v>990.25</v>
      </c>
      <c r="J29" s="16">
        <f t="shared" si="0"/>
        <v>540.94736842105272</v>
      </c>
      <c r="K29" s="16">
        <f t="shared" si="0"/>
        <v>3525.8596491228072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11.549526469414753</v>
      </c>
      <c r="G31" s="6">
        <f>SUM(G6:G8)+SUM(G14:G16)+G19+G21</f>
        <v>5789.4736842105258</v>
      </c>
      <c r="H31" s="6">
        <f t="shared" ref="H31:K31" si="1">SUM(H6:H8)+SUM(H14:H16)+H19+H21</f>
        <v>5500</v>
      </c>
      <c r="I31" s="6">
        <f t="shared" si="1"/>
        <v>0</v>
      </c>
      <c r="J31" s="6">
        <f t="shared" si="1"/>
        <v>278.94736842105266</v>
      </c>
      <c r="K31" s="6">
        <f t="shared" si="1"/>
        <v>10.526315789473687</v>
      </c>
    </row>
    <row r="32" spans="1:15" x14ac:dyDescent="0.25">
      <c r="C32" s="8" t="s">
        <v>17</v>
      </c>
      <c r="E32" s="9">
        <f>G32/'Finanční plán podle SCLLD '!G34*100</f>
        <v>12.10217265672299</v>
      </c>
      <c r="G32" s="6">
        <f>G9+G10+G11+G20+SUM(G24:G28)</f>
        <v>6898.3333333333339</v>
      </c>
      <c r="H32" s="6">
        <f t="shared" ref="H32:K32" si="2">H9+H10+H11+H20+SUM(H24:H28)</f>
        <v>2550.75</v>
      </c>
      <c r="I32" s="6">
        <f t="shared" si="2"/>
        <v>850.25</v>
      </c>
      <c r="J32" s="6">
        <f t="shared" si="2"/>
        <v>110</v>
      </c>
      <c r="K32" s="6">
        <f t="shared" si="2"/>
        <v>3387.3333333333339</v>
      </c>
    </row>
    <row r="33" spans="3:11" x14ac:dyDescent="0.25">
      <c r="C33" s="8" t="s">
        <v>19</v>
      </c>
      <c r="E33" s="9">
        <f>G33/'Finanční plán podle SCLLD '!G35*100</f>
        <v>16.129032258064516</v>
      </c>
      <c r="G33" s="6">
        <f>G17+G18++G22+G23</f>
        <v>2000</v>
      </c>
      <c r="H33" s="6">
        <f t="shared" ref="H33:K33" si="3">H17+H18++H22+H23</f>
        <v>1700</v>
      </c>
      <c r="I33" s="6">
        <f t="shared" si="3"/>
        <v>140</v>
      </c>
      <c r="J33" s="6">
        <f t="shared" si="3"/>
        <v>80</v>
      </c>
      <c r="K33" s="6">
        <f t="shared" si="3"/>
        <v>80</v>
      </c>
    </row>
    <row r="34" spans="3:11" x14ac:dyDescent="0.25">
      <c r="C34" s="8" t="s">
        <v>26</v>
      </c>
      <c r="E34" s="9">
        <f>G34/'Finanční plán podle SCLLD '!G36*100</f>
        <v>34</v>
      </c>
      <c r="G34" s="6">
        <f>G12+G13</f>
        <v>800</v>
      </c>
      <c r="H34" s="6">
        <f t="shared" ref="H34:K34" si="4">H12+H13</f>
        <v>680</v>
      </c>
      <c r="I34" s="6">
        <f t="shared" si="4"/>
        <v>0</v>
      </c>
      <c r="J34" s="6">
        <f t="shared" si="4"/>
        <v>72</v>
      </c>
      <c r="K34" s="6">
        <f t="shared" si="4"/>
        <v>48</v>
      </c>
    </row>
  </sheetData>
  <sortState ref="B6:M28">
    <sortCondition ref="M6"/>
  </sortState>
  <mergeCells count="18">
    <mergeCell ref="A15:A18"/>
    <mergeCell ref="A19:A20"/>
    <mergeCell ref="A21:A23"/>
    <mergeCell ref="A24:A25"/>
    <mergeCell ref="A26:A28"/>
    <mergeCell ref="A3:A5"/>
    <mergeCell ref="B3:B5"/>
    <mergeCell ref="A8:A13"/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</mergeCells>
  <pageMargins left="0.51181102362204722" right="0.51181102362204722" top="0.78740157480314965" bottom="0.78740157480314965" header="0.31496062992125984" footer="0.31496062992125984"/>
  <pageSetup paperSize="9" scale="7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G25" sqref="G25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44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2631.5789473684208</v>
      </c>
      <c r="H6" s="16">
        <v>2500</v>
      </c>
      <c r="I6" s="16">
        <v>0</v>
      </c>
      <c r="J6" s="16">
        <f>G6*0.05*1</f>
        <v>131.57894736842104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0</v>
      </c>
      <c r="H7" s="16">
        <v>0</v>
      </c>
      <c r="I7" s="16">
        <v>0</v>
      </c>
      <c r="J7" s="16">
        <f>G7*0.05*1</f>
        <v>0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0</v>
      </c>
      <c r="H8" s="16">
        <v>0</v>
      </c>
      <c r="I8" s="16">
        <v>0</v>
      </c>
      <c r="J8" s="16">
        <f>G8*0.05*1</f>
        <v>0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0</v>
      </c>
      <c r="H10" s="16">
        <v>0</v>
      </c>
      <c r="I10" s="16">
        <f>H10/3</f>
        <v>0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f>(H12+I12)/85*100</f>
        <v>388.23529411764707</v>
      </c>
      <c r="H12" s="16">
        <v>330</v>
      </c>
      <c r="I12" s="16">
        <v>0</v>
      </c>
      <c r="J12" s="16">
        <f>G12*0.09</f>
        <v>34.941176470588232</v>
      </c>
      <c r="K12" s="16">
        <f>G12*0.06</f>
        <v>23.294117647058822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f>(H13+I13)/85*100</f>
        <v>388.23529411764707</v>
      </c>
      <c r="H13" s="16">
        <v>330</v>
      </c>
      <c r="I13" s="16">
        <v>0</v>
      </c>
      <c r="J13" s="16">
        <f>G13*0.09</f>
        <v>34.941176470588232</v>
      </c>
      <c r="K13" s="16">
        <f>G13*0.06</f>
        <v>23.294117647058822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2105.2631578947371</v>
      </c>
      <c r="H15" s="16">
        <v>2000</v>
      </c>
      <c r="I15" s="16">
        <v>0</v>
      </c>
      <c r="J15" s="16">
        <f>G15*0.05*1</f>
        <v>105.26315789473686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800</v>
      </c>
      <c r="H17" s="16">
        <f>G17*0.85</f>
        <v>680</v>
      </c>
      <c r="I17" s="16">
        <f>G17*0.12</f>
        <v>96</v>
      </c>
      <c r="J17" s="16">
        <f>G17*0.03*0.5</f>
        <v>12</v>
      </c>
      <c r="K17" s="16">
        <f>G17*0.03*0.5</f>
        <v>12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800</v>
      </c>
      <c r="H18" s="16">
        <f>G18*0.85</f>
        <v>680</v>
      </c>
      <c r="I18" s="16">
        <f>G18*0.11</f>
        <v>88</v>
      </c>
      <c r="J18" s="16">
        <f>G18*0.04*0.5</f>
        <v>16</v>
      </c>
      <c r="K18" s="16">
        <f>G18*0.04*0.5</f>
        <v>16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2105.2631578947371</v>
      </c>
      <c r="H19" s="16">
        <v>2000</v>
      </c>
      <c r="I19" s="16">
        <v>0</v>
      </c>
      <c r="J19" s="16">
        <f>G19*0.05*0.8</f>
        <v>84.210526315789494</v>
      </c>
      <c r="K19" s="16">
        <f>G19*0.05*0.2</f>
        <v>21.052631578947373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0</v>
      </c>
      <c r="H20" s="16">
        <v>0</v>
      </c>
      <c r="I20" s="16">
        <f>H20/3</f>
        <v>0</v>
      </c>
      <c r="J20" s="16">
        <f>G20*0.15*0</f>
        <v>0</v>
      </c>
      <c r="K20" s="16">
        <f>G20*0.15*1</f>
        <v>0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0</v>
      </c>
      <c r="H21" s="16">
        <v>0</v>
      </c>
      <c r="I21" s="16">
        <v>0</v>
      </c>
      <c r="J21" s="16">
        <f>G21*0.05*0</f>
        <v>0</v>
      </c>
      <c r="K21" s="16">
        <f>G21*0.05*1</f>
        <v>0</v>
      </c>
      <c r="L21" s="16">
        <v>0</v>
      </c>
      <c r="O21" s="6"/>
    </row>
    <row r="22" spans="1:15" ht="15.75" customHeight="1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0</v>
      </c>
      <c r="H22" s="16">
        <f>G22*0.85</f>
        <v>0</v>
      </c>
      <c r="I22" s="16">
        <f>G22*0.03</f>
        <v>0</v>
      </c>
      <c r="J22" s="16">
        <f>G22*0.12*0.5</f>
        <v>0</v>
      </c>
      <c r="K22" s="16">
        <f>G22*0.12*0.5</f>
        <v>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1000</v>
      </c>
      <c r="H23" s="16">
        <f>G23*0.85</f>
        <v>850</v>
      </c>
      <c r="I23" s="16">
        <f>G23*0.05</f>
        <v>50</v>
      </c>
      <c r="J23" s="16">
        <f>G23*0.15*0</f>
        <v>0</v>
      </c>
      <c r="K23" s="16">
        <f>G23*0.1*1</f>
        <v>100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0</v>
      </c>
      <c r="H24" s="16">
        <v>0</v>
      </c>
      <c r="I24" s="16">
        <f>H24/3</f>
        <v>0</v>
      </c>
      <c r="J24" s="16">
        <f>G24*0.5*0</f>
        <v>0</v>
      </c>
      <c r="K24" s="16">
        <f>G24*0.5*1</f>
        <v>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f>(H25+I25)/80*100</f>
        <v>750</v>
      </c>
      <c r="H25" s="16">
        <f>600*0.75</f>
        <v>450</v>
      </c>
      <c r="I25" s="16">
        <f>H25/3</f>
        <v>150</v>
      </c>
      <c r="J25" s="16">
        <f>G25*0.2*0</f>
        <v>0</v>
      </c>
      <c r="K25" s="16">
        <f>G25*0.2*1</f>
        <v>150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4583.3333333333339</v>
      </c>
      <c r="H26" s="16">
        <f>2200*0.75</f>
        <v>1650</v>
      </c>
      <c r="I26" s="16">
        <f>H26/3</f>
        <v>550</v>
      </c>
      <c r="J26" s="16">
        <f>G26*0.52*0</f>
        <v>0</v>
      </c>
      <c r="K26" s="16">
        <f>G26*0.52*1</f>
        <v>2383.3333333333339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0</v>
      </c>
      <c r="H27" s="16">
        <v>0</v>
      </c>
      <c r="I27" s="16">
        <f>H27/3</f>
        <v>0</v>
      </c>
      <c r="J27" s="16">
        <f>G27*0.55*0</f>
        <v>0</v>
      </c>
      <c r="K27" s="16">
        <f>G27*0.6*1</f>
        <v>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0</v>
      </c>
      <c r="H28" s="16">
        <v>0</v>
      </c>
      <c r="I28" s="16">
        <f>H28/3</f>
        <v>0</v>
      </c>
      <c r="J28" s="16">
        <f>G28*0.6*0</f>
        <v>0</v>
      </c>
      <c r="K28" s="16">
        <f>G28*0.6*1</f>
        <v>0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15551.909184726523</v>
      </c>
      <c r="H29" s="16">
        <f t="shared" ref="H29:K29" si="0">SUM(H6:H28)</f>
        <v>11470</v>
      </c>
      <c r="I29" s="16">
        <f t="shared" si="0"/>
        <v>934</v>
      </c>
      <c r="J29" s="16">
        <f t="shared" si="0"/>
        <v>418.93498452012386</v>
      </c>
      <c r="K29" s="16">
        <f t="shared" si="0"/>
        <v>2728.974200206399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13.64944037294471</v>
      </c>
      <c r="G31" s="6">
        <f>SUM(G6:G8)+SUM(G14:G16)+G19+G21</f>
        <v>6842.105263157895</v>
      </c>
      <c r="H31" s="6">
        <f t="shared" ref="H31:K31" si="1">SUM(H6:H8)+SUM(H14:H16)+H19+H21</f>
        <v>6500</v>
      </c>
      <c r="I31" s="6">
        <f t="shared" si="1"/>
        <v>0</v>
      </c>
      <c r="J31" s="6">
        <f t="shared" si="1"/>
        <v>321.0526315789474</v>
      </c>
      <c r="K31" s="6">
        <f t="shared" si="1"/>
        <v>21.052631578947373</v>
      </c>
    </row>
    <row r="32" spans="1:15" x14ac:dyDescent="0.25">
      <c r="C32" s="8" t="s">
        <v>17</v>
      </c>
      <c r="E32" s="9">
        <f>G32/'Finanční plán podle SCLLD '!G34*100</f>
        <v>9.3565964004623261</v>
      </c>
      <c r="G32" s="6">
        <f>G9+G10+G11+G20+SUM(G24:G28)</f>
        <v>5333.3333333333339</v>
      </c>
      <c r="H32" s="6">
        <f t="shared" ref="H32:K32" si="2">H9+H10+H11+H20+SUM(H24:H28)</f>
        <v>2100</v>
      </c>
      <c r="I32" s="6">
        <f t="shared" si="2"/>
        <v>700</v>
      </c>
      <c r="J32" s="6">
        <f t="shared" si="2"/>
        <v>0</v>
      </c>
      <c r="K32" s="6">
        <f t="shared" si="2"/>
        <v>2533.3333333333339</v>
      </c>
    </row>
    <row r="33" spans="3:11" x14ac:dyDescent="0.25">
      <c r="C33" s="8" t="s">
        <v>19</v>
      </c>
      <c r="E33" s="9">
        <f>G33/'Finanční plán podle SCLLD '!G35*100</f>
        <v>20.967741935483872</v>
      </c>
      <c r="G33" s="6">
        <f>G17+G18++G22+G23</f>
        <v>2600</v>
      </c>
      <c r="H33" s="6">
        <f t="shared" ref="H33:K33" si="3">H17+H18++H22+H23</f>
        <v>2210</v>
      </c>
      <c r="I33" s="6">
        <f t="shared" si="3"/>
        <v>234</v>
      </c>
      <c r="J33" s="6">
        <f t="shared" si="3"/>
        <v>28</v>
      </c>
      <c r="K33" s="6">
        <f t="shared" si="3"/>
        <v>128</v>
      </c>
    </row>
    <row r="34" spans="3:11" x14ac:dyDescent="0.25">
      <c r="C34" s="8" t="s">
        <v>26</v>
      </c>
      <c r="E34" s="9">
        <f>G34/'Finanční plán podle SCLLD '!G36*100</f>
        <v>33</v>
      </c>
      <c r="G34" s="6">
        <f>G12+G13</f>
        <v>776.47058823529414</v>
      </c>
      <c r="H34" s="6">
        <f t="shared" ref="H34:K34" si="4">H12+H13</f>
        <v>660</v>
      </c>
      <c r="I34" s="6">
        <f t="shared" si="4"/>
        <v>0</v>
      </c>
      <c r="J34" s="6">
        <f t="shared" si="4"/>
        <v>69.882352941176464</v>
      </c>
      <c r="K34" s="6">
        <f t="shared" si="4"/>
        <v>46.588235294117645</v>
      </c>
    </row>
  </sheetData>
  <sortState ref="B6:M30">
    <sortCondition ref="M6"/>
  </sortState>
  <mergeCells count="18">
    <mergeCell ref="A21:A23"/>
    <mergeCell ref="A24:A25"/>
    <mergeCell ref="A26:A28"/>
    <mergeCell ref="A3:A5"/>
    <mergeCell ref="B3:B5"/>
    <mergeCell ref="A8:A13"/>
    <mergeCell ref="A15:A18"/>
    <mergeCell ref="A19:A20"/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</mergeCells>
  <pageMargins left="0.51181102362204722" right="0.51181102362204722" top="0.78740157480314965" bottom="0.78740157480314965" header="0.31496062992125984" footer="0.31496062992125984"/>
  <pageSetup paperSize="9" scale="7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H23" sqref="H23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45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1052.6315789473686</v>
      </c>
      <c r="H6" s="16">
        <v>1000</v>
      </c>
      <c r="I6" s="16">
        <v>0</v>
      </c>
      <c r="J6" s="16">
        <f>G6*0.05*1</f>
        <v>52.631578947368432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0</v>
      </c>
      <c r="H7" s="16">
        <v>0</v>
      </c>
      <c r="I7" s="16">
        <v>0</v>
      </c>
      <c r="J7" s="16">
        <f>G7*0.05*1</f>
        <v>0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0</v>
      </c>
      <c r="H8" s="16">
        <v>0</v>
      </c>
      <c r="I8" s="16">
        <v>0</v>
      </c>
      <c r="J8" s="16">
        <f>G8*0.05*1</f>
        <v>0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0</v>
      </c>
      <c r="H10" s="16">
        <v>0</v>
      </c>
      <c r="I10" s="16">
        <f>H10/3</f>
        <v>0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f>(H12+I12)/85*100</f>
        <v>388.23529411764707</v>
      </c>
      <c r="H12" s="16">
        <v>330</v>
      </c>
      <c r="I12" s="16">
        <v>0</v>
      </c>
      <c r="J12" s="16">
        <f>G12*0.09</f>
        <v>34.941176470588232</v>
      </c>
      <c r="K12" s="16">
        <f>G12*0.06</f>
        <v>23.294117647058822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f>(H13+I13)/85*100</f>
        <v>388.23529411764707</v>
      </c>
      <c r="H13" s="16">
        <v>330</v>
      </c>
      <c r="I13" s="16">
        <v>0</v>
      </c>
      <c r="J13" s="16">
        <f>G13*0.09</f>
        <v>34.941176470588232</v>
      </c>
      <c r="K13" s="16">
        <f>G13*0.06</f>
        <v>23.294117647058822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1578.9473684210525</v>
      </c>
      <c r="H15" s="16">
        <v>1500</v>
      </c>
      <c r="I15" s="16">
        <v>0</v>
      </c>
      <c r="J15" s="16">
        <f>G15*0.05*1</f>
        <v>78.94736842105263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0</v>
      </c>
      <c r="H17" s="16">
        <f>G17*0.85</f>
        <v>0</v>
      </c>
      <c r="I17" s="16">
        <f>G17*0.12</f>
        <v>0</v>
      </c>
      <c r="J17" s="16">
        <f>G17*0.03*0.5</f>
        <v>0</v>
      </c>
      <c r="K17" s="16">
        <f>G17*0.03*0.5</f>
        <v>0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600</v>
      </c>
      <c r="H18" s="16">
        <f>G18*0.85</f>
        <v>510</v>
      </c>
      <c r="I18" s="16">
        <f>G18*0.11</f>
        <v>66</v>
      </c>
      <c r="J18" s="16">
        <f>G18*0.04*0.5</f>
        <v>12</v>
      </c>
      <c r="K18" s="16">
        <f>G18*0.04*0.5</f>
        <v>12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1052.6315789473686</v>
      </c>
      <c r="H19" s="16">
        <v>1000</v>
      </c>
      <c r="I19" s="16">
        <v>0</v>
      </c>
      <c r="J19" s="16">
        <f>G19*0.05*0.8</f>
        <v>42.105263157894747</v>
      </c>
      <c r="K19" s="16">
        <f>G19*0.05*0.2</f>
        <v>10.526315789473687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147.05882352941177</v>
      </c>
      <c r="H20" s="16">
        <f>125*0.75</f>
        <v>93.75</v>
      </c>
      <c r="I20" s="16">
        <f>H20/3</f>
        <v>31.25</v>
      </c>
      <c r="J20" s="16">
        <f>G20*0.15*0</f>
        <v>0</v>
      </c>
      <c r="K20" s="16">
        <f>G20*0.15*1</f>
        <v>22.058823529411764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0</v>
      </c>
      <c r="H21" s="16">
        <v>0</v>
      </c>
      <c r="I21" s="16">
        <v>0</v>
      </c>
      <c r="J21" s="16">
        <f>G21*0.05*0</f>
        <v>0</v>
      </c>
      <c r="K21" s="16">
        <f>G21*0.05*1</f>
        <v>0</v>
      </c>
      <c r="L21" s="16">
        <v>0</v>
      </c>
      <c r="O21" s="6"/>
    </row>
    <row r="22" spans="1:15" ht="15.75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0</v>
      </c>
      <c r="H22" s="16">
        <f>G22*0.85</f>
        <v>0</v>
      </c>
      <c r="I22" s="16">
        <f>G22*0.03</f>
        <v>0</v>
      </c>
      <c r="J22" s="16">
        <f>G22*0.12*0.5</f>
        <v>0</v>
      </c>
      <c r="K22" s="16">
        <f>G22*0.12*0.5</f>
        <v>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0</v>
      </c>
      <c r="H24" s="16">
        <v>0</v>
      </c>
      <c r="I24" s="16">
        <f>H24/3</f>
        <v>0</v>
      </c>
      <c r="J24" s="16">
        <f>G24*0.5*0</f>
        <v>0</v>
      </c>
      <c r="K24" s="16">
        <f>G24*0.5*1</f>
        <v>0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3125</v>
      </c>
      <c r="H26" s="16">
        <f>1500*0.75</f>
        <v>1125</v>
      </c>
      <c r="I26" s="16">
        <f>H26/3</f>
        <v>375</v>
      </c>
      <c r="J26" s="16">
        <f>G26*0.52*0</f>
        <v>0</v>
      </c>
      <c r="K26" s="16">
        <f>G26*0.52*1</f>
        <v>1625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2500</v>
      </c>
      <c r="H27" s="16">
        <f>1000*0.75</f>
        <v>750</v>
      </c>
      <c r="I27" s="16">
        <f>H27/3</f>
        <v>250</v>
      </c>
      <c r="J27" s="16">
        <f>G27*0.55*0</f>
        <v>0</v>
      </c>
      <c r="K27" s="16">
        <f>G27*0.6*1</f>
        <v>1500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4750</v>
      </c>
      <c r="H28" s="16">
        <f>1900*0.75</f>
        <v>1425</v>
      </c>
      <c r="I28" s="16">
        <f>H28/3</f>
        <v>475</v>
      </c>
      <c r="J28" s="16">
        <f>G28*0.6*0</f>
        <v>0</v>
      </c>
      <c r="K28" s="16">
        <f>G28*0.6*1</f>
        <v>2850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15582.739938080496</v>
      </c>
      <c r="H29" s="16">
        <f t="shared" ref="H29:K29" si="0">SUM(H6:H28)</f>
        <v>8063.75</v>
      </c>
      <c r="I29" s="16">
        <f t="shared" si="0"/>
        <v>1197.25</v>
      </c>
      <c r="J29" s="16">
        <f t="shared" si="0"/>
        <v>255.56656346749227</v>
      </c>
      <c r="K29" s="16">
        <f t="shared" si="0"/>
        <v>6066.173374613003</v>
      </c>
      <c r="L29" s="16">
        <v>0</v>
      </c>
      <c r="O29" s="6"/>
    </row>
    <row r="30" spans="1: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B31" s="3"/>
      <c r="C31" s="8" t="s">
        <v>15</v>
      </c>
      <c r="E31" s="9">
        <f>G31/'Finanční plán podle SCLLD '!G33*100</f>
        <v>7.3496986623548421</v>
      </c>
      <c r="G31" s="6">
        <f>SUM(G6:G8)+SUM(G14:G16)+G19+G21</f>
        <v>3684.2105263157891</v>
      </c>
      <c r="H31" s="6">
        <f t="shared" ref="H31:K31" si="1">SUM(H6:H8)+SUM(H14:H16)+H19+H21</f>
        <v>3500</v>
      </c>
      <c r="I31" s="6">
        <f t="shared" si="1"/>
        <v>0</v>
      </c>
      <c r="J31" s="6">
        <f t="shared" si="1"/>
        <v>173.68421052631581</v>
      </c>
      <c r="K31" s="6">
        <f t="shared" si="1"/>
        <v>10.526315789473687</v>
      </c>
    </row>
    <row r="32" spans="1:15" x14ac:dyDescent="0.25">
      <c r="C32" s="8" t="s">
        <v>17</v>
      </c>
      <c r="E32" s="9">
        <f>G32/'Finanční plán podle SCLLD '!G34*100</f>
        <v>18.459498321316527</v>
      </c>
      <c r="G32" s="6">
        <f>G9+G10+G11+G20+SUM(G24:G28)</f>
        <v>10522.058823529413</v>
      </c>
      <c r="H32" s="6">
        <f t="shared" ref="H32:K32" si="2">H9+H10+H11+H20+SUM(H24:H28)</f>
        <v>3393.75</v>
      </c>
      <c r="I32" s="6">
        <f t="shared" si="2"/>
        <v>1131.25</v>
      </c>
      <c r="J32" s="6">
        <f t="shared" si="2"/>
        <v>0</v>
      </c>
      <c r="K32" s="6">
        <f t="shared" si="2"/>
        <v>5997.0588235294117</v>
      </c>
    </row>
    <row r="33" spans="3:11" x14ac:dyDescent="0.25">
      <c r="C33" s="8" t="s">
        <v>19</v>
      </c>
      <c r="E33" s="9">
        <f>G33/'Finanční plán podle SCLLD '!G35*100</f>
        <v>4.838709677419355</v>
      </c>
      <c r="G33" s="6">
        <f>G17+G18++G22+G23</f>
        <v>600</v>
      </c>
      <c r="H33" s="6">
        <f t="shared" ref="H33:K33" si="3">H17+H18++H22+H23</f>
        <v>510</v>
      </c>
      <c r="I33" s="6">
        <f t="shared" si="3"/>
        <v>66</v>
      </c>
      <c r="J33" s="6">
        <f t="shared" si="3"/>
        <v>12</v>
      </c>
      <c r="K33" s="6">
        <f t="shared" si="3"/>
        <v>12</v>
      </c>
    </row>
    <row r="34" spans="3:11" x14ac:dyDescent="0.25">
      <c r="C34" s="8" t="s">
        <v>26</v>
      </c>
      <c r="E34" s="9">
        <f>G34/'Finanční plán podle SCLLD '!G36*100</f>
        <v>33</v>
      </c>
      <c r="G34" s="6">
        <f>G12+G13</f>
        <v>776.47058823529414</v>
      </c>
      <c r="H34" s="6">
        <f t="shared" ref="H34:K34" si="4">H12+H13</f>
        <v>660</v>
      </c>
      <c r="I34" s="6">
        <f t="shared" si="4"/>
        <v>0</v>
      </c>
      <c r="J34" s="6">
        <f t="shared" si="4"/>
        <v>69.882352941176464</v>
      </c>
      <c r="K34" s="6">
        <f t="shared" si="4"/>
        <v>46.588235294117645</v>
      </c>
    </row>
  </sheetData>
  <sortState ref="B6:M31">
    <sortCondition ref="M31"/>
  </sortState>
  <mergeCells count="18">
    <mergeCell ref="A21:A23"/>
    <mergeCell ref="A24:A25"/>
    <mergeCell ref="A26:A28"/>
    <mergeCell ref="A3:A5"/>
    <mergeCell ref="B3:B5"/>
    <mergeCell ref="A8:A13"/>
    <mergeCell ref="A15:A18"/>
    <mergeCell ref="A19:A20"/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G34" sqref="G34:K34"/>
    </sheetView>
  </sheetViews>
  <sheetFormatPr defaultRowHeight="15" x14ac:dyDescent="0.25"/>
  <cols>
    <col min="1" max="1" width="27.140625" customWidth="1"/>
    <col min="2" max="2" width="15.140625" customWidth="1"/>
    <col min="3" max="3" width="7.7109375" customWidth="1"/>
    <col min="4" max="4" width="8.140625" customWidth="1"/>
    <col min="5" max="5" width="8.28515625" customWidth="1"/>
    <col min="6" max="6" width="8.5703125" customWidth="1"/>
    <col min="7" max="7" width="8.42578125" customWidth="1"/>
    <col min="8" max="8" width="7.85546875" customWidth="1"/>
    <col min="9" max="9" width="8.28515625" customWidth="1"/>
    <col min="10" max="10" width="7.140625" customWidth="1"/>
    <col min="11" max="11" width="7.7109375" customWidth="1"/>
    <col min="12" max="12" width="7.85546875" customWidth="1"/>
    <col min="14" max="14" width="10.85546875" bestFit="1" customWidth="1"/>
  </cols>
  <sheetData>
    <row r="1" spans="1:15" x14ac:dyDescent="0.25">
      <c r="A1" s="5" t="s">
        <v>46</v>
      </c>
    </row>
    <row r="2" spans="1:15" ht="11.25" customHeight="1" thickBot="1" x14ac:dyDescent="0.3"/>
    <row r="3" spans="1:15" ht="15.75" customHeight="1" thickBot="1" x14ac:dyDescent="0.3">
      <c r="A3" s="59" t="s">
        <v>23</v>
      </c>
      <c r="B3" s="59" t="s">
        <v>0</v>
      </c>
      <c r="C3" s="63" t="s">
        <v>1</v>
      </c>
      <c r="D3" s="64"/>
      <c r="E3" s="64"/>
      <c r="F3" s="65"/>
      <c r="G3" s="63" t="s">
        <v>27</v>
      </c>
      <c r="H3" s="64"/>
      <c r="I3" s="64"/>
      <c r="J3" s="64"/>
      <c r="K3" s="65"/>
      <c r="L3" s="59" t="s">
        <v>2</v>
      </c>
    </row>
    <row r="4" spans="1:15" ht="20.25" customHeight="1" thickBot="1" x14ac:dyDescent="0.3">
      <c r="A4" s="60"/>
      <c r="B4" s="60"/>
      <c r="C4" s="59" t="s">
        <v>3</v>
      </c>
      <c r="D4" s="59" t="s">
        <v>4</v>
      </c>
      <c r="E4" s="59" t="s">
        <v>7</v>
      </c>
      <c r="F4" s="59" t="s">
        <v>8</v>
      </c>
      <c r="G4" s="59" t="s">
        <v>5</v>
      </c>
      <c r="H4" s="66" t="s">
        <v>9</v>
      </c>
      <c r="I4" s="67"/>
      <c r="J4" s="63" t="s">
        <v>12</v>
      </c>
      <c r="K4" s="65"/>
      <c r="L4" s="60"/>
    </row>
    <row r="5" spans="1:15" ht="31.5" customHeight="1" thickBot="1" x14ac:dyDescent="0.3">
      <c r="A5" s="61"/>
      <c r="B5" s="61"/>
      <c r="C5" s="61"/>
      <c r="D5" s="61"/>
      <c r="E5" s="61"/>
      <c r="F5" s="61"/>
      <c r="G5" s="61"/>
      <c r="H5" s="14" t="s">
        <v>10</v>
      </c>
      <c r="I5" s="2" t="s">
        <v>11</v>
      </c>
      <c r="J5" s="2" t="s">
        <v>13</v>
      </c>
      <c r="K5" s="2" t="s">
        <v>14</v>
      </c>
      <c r="L5" s="61"/>
    </row>
    <row r="6" spans="1:15" ht="54.75" customHeight="1" thickBot="1" x14ac:dyDescent="0.3">
      <c r="A6" s="10" t="s">
        <v>50</v>
      </c>
      <c r="B6" s="1" t="s">
        <v>49</v>
      </c>
      <c r="C6" s="1" t="s">
        <v>15</v>
      </c>
      <c r="D6" s="1" t="s">
        <v>22</v>
      </c>
      <c r="E6" s="1" t="s">
        <v>64</v>
      </c>
      <c r="F6" s="1" t="s">
        <v>32</v>
      </c>
      <c r="G6" s="16">
        <f>H6/95*100</f>
        <v>0</v>
      </c>
      <c r="H6" s="16">
        <v>0</v>
      </c>
      <c r="I6" s="16">
        <v>0</v>
      </c>
      <c r="J6" s="16">
        <f>G6*0.05*1</f>
        <v>0</v>
      </c>
      <c r="K6" s="16">
        <f>G6*0.05*0</f>
        <v>0</v>
      </c>
      <c r="L6" s="16">
        <v>0</v>
      </c>
      <c r="O6" s="6"/>
    </row>
    <row r="7" spans="1:15" ht="34.5" customHeight="1" thickBot="1" x14ac:dyDescent="0.3">
      <c r="A7" s="10" t="s">
        <v>53</v>
      </c>
      <c r="B7" s="1" t="s">
        <v>51</v>
      </c>
      <c r="C7" s="1" t="s">
        <v>15</v>
      </c>
      <c r="D7" s="1" t="s">
        <v>22</v>
      </c>
      <c r="E7" s="1" t="s">
        <v>64</v>
      </c>
      <c r="F7" s="1" t="s">
        <v>32</v>
      </c>
      <c r="G7" s="16">
        <f>H7/95*100</f>
        <v>0</v>
      </c>
      <c r="H7" s="16">
        <v>0</v>
      </c>
      <c r="I7" s="16">
        <v>0</v>
      </c>
      <c r="J7" s="16">
        <f>G7*0.05*1</f>
        <v>0</v>
      </c>
      <c r="K7" s="16">
        <f>G7*0.05*0</f>
        <v>0</v>
      </c>
      <c r="L7" s="16">
        <v>0</v>
      </c>
      <c r="O7" s="6"/>
    </row>
    <row r="8" spans="1:15" ht="21.75" customHeight="1" thickBot="1" x14ac:dyDescent="0.3">
      <c r="A8" s="56" t="s">
        <v>54</v>
      </c>
      <c r="B8" s="1" t="s">
        <v>25</v>
      </c>
      <c r="C8" s="1" t="s">
        <v>15</v>
      </c>
      <c r="D8" s="1" t="s">
        <v>22</v>
      </c>
      <c r="E8" s="1" t="s">
        <v>64</v>
      </c>
      <c r="F8" s="1" t="s">
        <v>32</v>
      </c>
      <c r="G8" s="16">
        <f>H8/95*100</f>
        <v>0</v>
      </c>
      <c r="H8" s="16">
        <v>0</v>
      </c>
      <c r="I8" s="16">
        <v>0</v>
      </c>
      <c r="J8" s="16">
        <f>G8*0.05*1</f>
        <v>0</v>
      </c>
      <c r="K8" s="16">
        <f>G8*0.05*0</f>
        <v>0</v>
      </c>
      <c r="L8" s="16">
        <v>0</v>
      </c>
      <c r="O8" s="6"/>
    </row>
    <row r="9" spans="1:15" ht="24" customHeight="1" thickBot="1" x14ac:dyDescent="0.3">
      <c r="A9" s="62"/>
      <c r="B9" s="1" t="s">
        <v>72</v>
      </c>
      <c r="C9" s="1" t="s">
        <v>17</v>
      </c>
      <c r="D9" s="1" t="s">
        <v>39</v>
      </c>
      <c r="E9" s="1" t="s">
        <v>66</v>
      </c>
      <c r="F9" s="1" t="s">
        <v>65</v>
      </c>
      <c r="G9" s="16">
        <f>(H9+I9)/80*100</f>
        <v>0</v>
      </c>
      <c r="H9" s="16">
        <v>0</v>
      </c>
      <c r="I9" s="16">
        <f>H9/3</f>
        <v>0</v>
      </c>
      <c r="J9" s="16">
        <f>G9*0.2*0.8</f>
        <v>0</v>
      </c>
      <c r="K9" s="16">
        <f>G9*0.2*0.2</f>
        <v>0</v>
      </c>
      <c r="L9" s="16">
        <v>0</v>
      </c>
      <c r="O9" s="6"/>
    </row>
    <row r="10" spans="1:15" ht="24" customHeight="1" thickBot="1" x14ac:dyDescent="0.3">
      <c r="A10" s="62"/>
      <c r="B10" s="1" t="s">
        <v>18</v>
      </c>
      <c r="C10" s="1" t="s">
        <v>17</v>
      </c>
      <c r="D10" s="1" t="s">
        <v>39</v>
      </c>
      <c r="E10" s="1" t="s">
        <v>66</v>
      </c>
      <c r="F10" s="1" t="s">
        <v>65</v>
      </c>
      <c r="G10" s="16">
        <f>(H10+I10)/100*100</f>
        <v>0</v>
      </c>
      <c r="H10" s="16">
        <v>0</v>
      </c>
      <c r="I10" s="16">
        <f>H10/3</f>
        <v>0</v>
      </c>
      <c r="J10" s="16">
        <f>G10*0*0.8</f>
        <v>0</v>
      </c>
      <c r="K10" s="16">
        <f>G10*0*0.2</f>
        <v>0</v>
      </c>
      <c r="L10" s="16">
        <v>0</v>
      </c>
      <c r="O10" s="6"/>
    </row>
    <row r="11" spans="1:15" ht="24" customHeight="1" thickBot="1" x14ac:dyDescent="0.3">
      <c r="A11" s="62"/>
      <c r="B11" s="1" t="s">
        <v>30</v>
      </c>
      <c r="C11" s="1" t="s">
        <v>17</v>
      </c>
      <c r="D11" s="1" t="s">
        <v>39</v>
      </c>
      <c r="E11" s="1" t="s">
        <v>66</v>
      </c>
      <c r="F11" s="1" t="s">
        <v>65</v>
      </c>
      <c r="G11" s="16">
        <f>(H11+I11)/50*100</f>
        <v>0</v>
      </c>
      <c r="H11" s="16">
        <v>0</v>
      </c>
      <c r="I11" s="16">
        <f>H11/3</f>
        <v>0</v>
      </c>
      <c r="J11" s="16">
        <f>G11*0.5*0.6</f>
        <v>0</v>
      </c>
      <c r="K11" s="16">
        <f>G11*0.5*0.4</f>
        <v>0</v>
      </c>
      <c r="L11" s="16">
        <v>0</v>
      </c>
      <c r="O11" s="6"/>
    </row>
    <row r="12" spans="1:15" ht="23.25" thickBot="1" x14ac:dyDescent="0.3">
      <c r="A12" s="62"/>
      <c r="B12" s="1" t="s">
        <v>52</v>
      </c>
      <c r="C12" s="1" t="s">
        <v>26</v>
      </c>
      <c r="D12" s="1" t="s">
        <v>22</v>
      </c>
      <c r="E12" s="1" t="s">
        <v>40</v>
      </c>
      <c r="F12" s="1" t="s">
        <v>37</v>
      </c>
      <c r="G12" s="16">
        <v>0</v>
      </c>
      <c r="H12" s="16">
        <v>0</v>
      </c>
      <c r="I12" s="16">
        <f>H12/3</f>
        <v>0</v>
      </c>
      <c r="J12" s="16">
        <f>G12*0*0.8</f>
        <v>0</v>
      </c>
      <c r="K12" s="16">
        <f>G12*0*0.2</f>
        <v>0</v>
      </c>
      <c r="L12" s="16">
        <v>0</v>
      </c>
      <c r="O12" s="6"/>
    </row>
    <row r="13" spans="1:15" ht="23.25" thickBot="1" x14ac:dyDescent="0.3">
      <c r="A13" s="57"/>
      <c r="B13" s="1" t="s">
        <v>35</v>
      </c>
      <c r="C13" s="1" t="s">
        <v>26</v>
      </c>
      <c r="D13" s="1" t="s">
        <v>22</v>
      </c>
      <c r="E13" s="1" t="s">
        <v>40</v>
      </c>
      <c r="F13" s="1" t="s">
        <v>38</v>
      </c>
      <c r="G13" s="16">
        <v>0</v>
      </c>
      <c r="H13" s="16">
        <v>0</v>
      </c>
      <c r="I13" s="16">
        <f>H13/3</f>
        <v>0</v>
      </c>
      <c r="J13" s="16">
        <f>G13*0*0.8</f>
        <v>0</v>
      </c>
      <c r="K13" s="16">
        <f>G13*0*0.2</f>
        <v>0</v>
      </c>
      <c r="L13" s="16">
        <v>0</v>
      </c>
      <c r="O13" s="6"/>
    </row>
    <row r="14" spans="1:15" ht="34.5" thickBot="1" x14ac:dyDescent="0.3">
      <c r="A14" s="15" t="s">
        <v>55</v>
      </c>
      <c r="B14" s="1" t="s">
        <v>24</v>
      </c>
      <c r="C14" s="1" t="s">
        <v>15</v>
      </c>
      <c r="D14" s="1" t="s">
        <v>22</v>
      </c>
      <c r="E14" s="1" t="s">
        <v>64</v>
      </c>
      <c r="F14" s="1" t="s">
        <v>32</v>
      </c>
      <c r="G14" s="16">
        <f>H14/95*100</f>
        <v>0</v>
      </c>
      <c r="H14" s="16">
        <v>0</v>
      </c>
      <c r="I14" s="16">
        <v>0</v>
      </c>
      <c r="J14" s="16">
        <f>G14*0.05*0</f>
        <v>0</v>
      </c>
      <c r="K14" s="16">
        <f>G14*0.05*1</f>
        <v>0</v>
      </c>
      <c r="L14" s="16">
        <v>0</v>
      </c>
      <c r="O14" s="6"/>
    </row>
    <row r="15" spans="1:15" ht="21.75" customHeight="1" thickBot="1" x14ac:dyDescent="0.3">
      <c r="A15" s="56" t="s">
        <v>59</v>
      </c>
      <c r="B15" s="1" t="s">
        <v>56</v>
      </c>
      <c r="C15" s="1" t="s">
        <v>15</v>
      </c>
      <c r="D15" s="1" t="s">
        <v>22</v>
      </c>
      <c r="E15" s="1" t="s">
        <v>64</v>
      </c>
      <c r="F15" s="1" t="s">
        <v>32</v>
      </c>
      <c r="G15" s="16">
        <f>H15/95*100</f>
        <v>3157.894736842105</v>
      </c>
      <c r="H15" s="16">
        <v>3000</v>
      </c>
      <c r="I15" s="16">
        <v>0</v>
      </c>
      <c r="J15" s="16">
        <f>G15*0.05*1</f>
        <v>157.89473684210526</v>
      </c>
      <c r="K15" s="16">
        <f>G15*0.05*0</f>
        <v>0</v>
      </c>
      <c r="L15" s="16">
        <v>0</v>
      </c>
      <c r="N15" s="6"/>
      <c r="O15" s="6"/>
    </row>
    <row r="16" spans="1:15" ht="21.75" customHeight="1" thickBot="1" x14ac:dyDescent="0.3">
      <c r="A16" s="62"/>
      <c r="B16" s="1" t="s">
        <v>57</v>
      </c>
      <c r="C16" s="1" t="s">
        <v>15</v>
      </c>
      <c r="D16" s="1" t="s">
        <v>22</v>
      </c>
      <c r="E16" s="1" t="s">
        <v>64</v>
      </c>
      <c r="F16" s="1" t="s">
        <v>32</v>
      </c>
      <c r="G16" s="16">
        <f>H16/95*100</f>
        <v>0</v>
      </c>
      <c r="H16" s="16">
        <v>0</v>
      </c>
      <c r="I16" s="16">
        <v>0</v>
      </c>
      <c r="J16" s="16">
        <f>G16*0.05*0.5</f>
        <v>0</v>
      </c>
      <c r="K16" s="16">
        <f>G16*0.05*0.5</f>
        <v>0</v>
      </c>
      <c r="L16" s="16">
        <v>0</v>
      </c>
      <c r="N16" s="6"/>
      <c r="O16" s="6"/>
    </row>
    <row r="17" spans="1:15" ht="24" customHeight="1" thickBot="1" x14ac:dyDescent="0.3">
      <c r="A17" s="62"/>
      <c r="B17" s="1" t="s">
        <v>33</v>
      </c>
      <c r="C17" s="1" t="s">
        <v>19</v>
      </c>
      <c r="D17" s="1" t="s">
        <v>20</v>
      </c>
      <c r="E17" s="1" t="s">
        <v>21</v>
      </c>
      <c r="F17" s="1" t="s">
        <v>16</v>
      </c>
      <c r="G17" s="16">
        <v>0</v>
      </c>
      <c r="H17" s="16">
        <f>G17*0.85</f>
        <v>0</v>
      </c>
      <c r="I17" s="16">
        <f>G17*0.12</f>
        <v>0</v>
      </c>
      <c r="J17" s="16">
        <f>G17*0.03*0.5</f>
        <v>0</v>
      </c>
      <c r="K17" s="16">
        <f>G17*0.03*0.5</f>
        <v>0</v>
      </c>
      <c r="L17" s="16">
        <v>0</v>
      </c>
      <c r="O17" s="6"/>
    </row>
    <row r="18" spans="1:15" ht="33" customHeight="1" thickBot="1" x14ac:dyDescent="0.3">
      <c r="A18" s="57"/>
      <c r="B18" s="1" t="s">
        <v>73</v>
      </c>
      <c r="C18" s="1" t="s">
        <v>19</v>
      </c>
      <c r="D18" s="1" t="s">
        <v>20</v>
      </c>
      <c r="E18" s="1" t="s">
        <v>21</v>
      </c>
      <c r="F18" s="1" t="s">
        <v>16</v>
      </c>
      <c r="G18" s="16">
        <v>860</v>
      </c>
      <c r="H18" s="16">
        <f>G18*0.85</f>
        <v>731</v>
      </c>
      <c r="I18" s="16">
        <f>G18*0.11</f>
        <v>94.6</v>
      </c>
      <c r="J18" s="16">
        <f>G18*0.04*0.5</f>
        <v>17.2</v>
      </c>
      <c r="K18" s="16">
        <f>G18*0.04*0.5</f>
        <v>17.2</v>
      </c>
      <c r="L18" s="16">
        <v>0</v>
      </c>
      <c r="O18" s="6"/>
    </row>
    <row r="19" spans="1:15" ht="33" customHeight="1" thickBot="1" x14ac:dyDescent="0.3">
      <c r="A19" s="68" t="s">
        <v>47</v>
      </c>
      <c r="B19" s="1" t="s">
        <v>68</v>
      </c>
      <c r="C19" s="1" t="s">
        <v>15</v>
      </c>
      <c r="D19" s="1" t="s">
        <v>22</v>
      </c>
      <c r="E19" s="1" t="s">
        <v>64</v>
      </c>
      <c r="F19" s="1" t="s">
        <v>32</v>
      </c>
      <c r="G19" s="16">
        <f>H19/95*100</f>
        <v>2105.2631578947371</v>
      </c>
      <c r="H19" s="16">
        <v>2000</v>
      </c>
      <c r="I19" s="16">
        <v>0</v>
      </c>
      <c r="J19" s="16">
        <f>G19*0.05*0.8</f>
        <v>84.210526315789494</v>
      </c>
      <c r="K19" s="16">
        <f>G19*0.05*0.2</f>
        <v>21.052631578947373</v>
      </c>
      <c r="L19" s="16">
        <v>0</v>
      </c>
      <c r="O19" s="6"/>
    </row>
    <row r="20" spans="1:15" ht="33" customHeight="1" thickBot="1" x14ac:dyDescent="0.3">
      <c r="A20" s="69"/>
      <c r="B20" s="1" t="s">
        <v>34</v>
      </c>
      <c r="C20" s="1" t="s">
        <v>17</v>
      </c>
      <c r="D20" s="1" t="s">
        <v>39</v>
      </c>
      <c r="E20" s="1" t="s">
        <v>66</v>
      </c>
      <c r="F20" s="1" t="s">
        <v>65</v>
      </c>
      <c r="G20" s="16">
        <f>(H20+I20)/85*100</f>
        <v>0</v>
      </c>
      <c r="H20" s="16">
        <v>0</v>
      </c>
      <c r="I20" s="16">
        <f>H20/3</f>
        <v>0</v>
      </c>
      <c r="J20" s="16">
        <f>G20*0.15*0</f>
        <v>0</v>
      </c>
      <c r="K20" s="16">
        <f>G20*0.15*1</f>
        <v>0</v>
      </c>
      <c r="L20" s="16">
        <v>0</v>
      </c>
      <c r="O20" s="6"/>
    </row>
    <row r="21" spans="1:15" ht="23.25" customHeight="1" thickBot="1" x14ac:dyDescent="0.3">
      <c r="A21" s="62" t="s">
        <v>60</v>
      </c>
      <c r="B21" s="1" t="s">
        <v>58</v>
      </c>
      <c r="C21" s="1" t="s">
        <v>15</v>
      </c>
      <c r="D21" s="1" t="s">
        <v>22</v>
      </c>
      <c r="E21" s="1" t="s">
        <v>64</v>
      </c>
      <c r="F21" s="1" t="s">
        <v>32</v>
      </c>
      <c r="G21" s="16">
        <f>H21/95*100</f>
        <v>0</v>
      </c>
      <c r="H21" s="16">
        <v>0</v>
      </c>
      <c r="I21" s="16">
        <v>0</v>
      </c>
      <c r="J21" s="16">
        <f>G21*0.05*0</f>
        <v>0</v>
      </c>
      <c r="K21" s="16">
        <f>G21*0.05*1</f>
        <v>0</v>
      </c>
      <c r="L21" s="16">
        <v>0</v>
      </c>
      <c r="O21" s="6"/>
    </row>
    <row r="22" spans="1:15" ht="15.75" customHeight="1" thickBot="1" x14ac:dyDescent="0.3">
      <c r="A22" s="62"/>
      <c r="B22" s="1" t="s">
        <v>36</v>
      </c>
      <c r="C22" s="1" t="s">
        <v>19</v>
      </c>
      <c r="D22" s="1" t="s">
        <v>20</v>
      </c>
      <c r="E22" s="1" t="s">
        <v>21</v>
      </c>
      <c r="F22" s="1" t="s">
        <v>16</v>
      </c>
      <c r="G22" s="16">
        <v>0</v>
      </c>
      <c r="H22" s="16">
        <f>G22*0.85</f>
        <v>0</v>
      </c>
      <c r="I22" s="16">
        <f>G22*0.03</f>
        <v>0</v>
      </c>
      <c r="J22" s="16">
        <f>G22*0.12*0.5</f>
        <v>0</v>
      </c>
      <c r="K22" s="16">
        <f>G22*0.12*0.5</f>
        <v>0</v>
      </c>
      <c r="L22" s="16">
        <v>0</v>
      </c>
      <c r="O22" s="6"/>
    </row>
    <row r="23" spans="1:15" ht="23.25" thickBot="1" x14ac:dyDescent="0.3">
      <c r="A23" s="57"/>
      <c r="B23" s="1" t="s">
        <v>74</v>
      </c>
      <c r="C23" s="1" t="s">
        <v>19</v>
      </c>
      <c r="D23" s="1" t="s">
        <v>20</v>
      </c>
      <c r="E23" s="1" t="s">
        <v>21</v>
      </c>
      <c r="F23" s="1" t="s">
        <v>16</v>
      </c>
      <c r="G23" s="16">
        <v>0</v>
      </c>
      <c r="H23" s="16">
        <f>G23*0.85</f>
        <v>0</v>
      </c>
      <c r="I23" s="16">
        <f>G23*0.05</f>
        <v>0</v>
      </c>
      <c r="J23" s="16">
        <f>G23*0.15*0</f>
        <v>0</v>
      </c>
      <c r="K23" s="16">
        <f>G23*0.1*1</f>
        <v>0</v>
      </c>
      <c r="L23" s="16">
        <v>0</v>
      </c>
      <c r="O23" s="6"/>
    </row>
    <row r="24" spans="1:15" ht="26.25" customHeight="1" thickBot="1" x14ac:dyDescent="0.3">
      <c r="A24" s="56" t="s">
        <v>62</v>
      </c>
      <c r="B24" s="1" t="s">
        <v>31</v>
      </c>
      <c r="C24" s="1" t="s">
        <v>17</v>
      </c>
      <c r="D24" s="1" t="s">
        <v>39</v>
      </c>
      <c r="E24" s="1" t="s">
        <v>66</v>
      </c>
      <c r="F24" s="1" t="s">
        <v>65</v>
      </c>
      <c r="G24" s="16">
        <f>(H24+I24)/50*100</f>
        <v>250</v>
      </c>
      <c r="H24" s="16">
        <f>125*0.75</f>
        <v>93.75</v>
      </c>
      <c r="I24" s="16">
        <f>H24/3</f>
        <v>31.25</v>
      </c>
      <c r="J24" s="16">
        <f>G24*0.5*0</f>
        <v>0</v>
      </c>
      <c r="K24" s="16">
        <f>G24*0.5*1</f>
        <v>125</v>
      </c>
      <c r="L24" s="16">
        <v>0</v>
      </c>
      <c r="O24" s="6"/>
    </row>
    <row r="25" spans="1:15" ht="20.25" customHeight="1" thickBot="1" x14ac:dyDescent="0.3">
      <c r="A25" s="57"/>
      <c r="B25" s="1" t="s">
        <v>61</v>
      </c>
      <c r="C25" s="1" t="s">
        <v>17</v>
      </c>
      <c r="D25" s="1" t="s">
        <v>39</v>
      </c>
      <c r="E25" s="1" t="s">
        <v>66</v>
      </c>
      <c r="F25" s="1" t="s">
        <v>67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O25" s="6"/>
    </row>
    <row r="26" spans="1:15" ht="24" customHeight="1" thickBot="1" x14ac:dyDescent="0.3">
      <c r="A26" s="62" t="s">
        <v>63</v>
      </c>
      <c r="B26" s="1" t="s">
        <v>28</v>
      </c>
      <c r="C26" s="1" t="s">
        <v>17</v>
      </c>
      <c r="D26" s="1" t="s">
        <v>39</v>
      </c>
      <c r="E26" s="1" t="s">
        <v>66</v>
      </c>
      <c r="F26" s="1" t="s">
        <v>65</v>
      </c>
      <c r="G26" s="16">
        <f>(H26+I26)/48*100</f>
        <v>4375</v>
      </c>
      <c r="H26" s="16">
        <f>2100*0.75</f>
        <v>1575</v>
      </c>
      <c r="I26" s="16">
        <f>H26/3</f>
        <v>525</v>
      </c>
      <c r="J26" s="16">
        <f>G26*0.52*0</f>
        <v>0</v>
      </c>
      <c r="K26" s="16">
        <f>G26*0.52*1</f>
        <v>2275</v>
      </c>
      <c r="L26" s="16">
        <v>0</v>
      </c>
      <c r="O26" s="6"/>
    </row>
    <row r="27" spans="1:15" ht="23.25" customHeight="1" thickBot="1" x14ac:dyDescent="0.3">
      <c r="A27" s="62"/>
      <c r="B27" s="1" t="s">
        <v>29</v>
      </c>
      <c r="C27" s="1" t="s">
        <v>17</v>
      </c>
      <c r="D27" s="1" t="s">
        <v>39</v>
      </c>
      <c r="E27" s="1" t="s">
        <v>66</v>
      </c>
      <c r="F27" s="1" t="s">
        <v>65</v>
      </c>
      <c r="G27" s="16">
        <f>(H27+I27)/40*100</f>
        <v>0</v>
      </c>
      <c r="H27" s="16">
        <v>0</v>
      </c>
      <c r="I27" s="16">
        <f>H27/3</f>
        <v>0</v>
      </c>
      <c r="J27" s="16">
        <f>G27*0.55*0</f>
        <v>0</v>
      </c>
      <c r="K27" s="16">
        <f>G27*0.6*1</f>
        <v>0</v>
      </c>
      <c r="L27" s="16">
        <v>0</v>
      </c>
      <c r="O27" s="6"/>
    </row>
    <row r="28" spans="1:15" ht="23.25" thickBot="1" x14ac:dyDescent="0.3">
      <c r="A28" s="57"/>
      <c r="B28" s="1" t="s">
        <v>75</v>
      </c>
      <c r="C28" s="1" t="s">
        <v>17</v>
      </c>
      <c r="D28" s="1" t="s">
        <v>39</v>
      </c>
      <c r="E28" s="1" t="s">
        <v>66</v>
      </c>
      <c r="F28" s="1" t="s">
        <v>65</v>
      </c>
      <c r="G28" s="16">
        <f>(H28+I28)/40*100</f>
        <v>1000</v>
      </c>
      <c r="H28" s="16">
        <f>400*0.75</f>
        <v>300</v>
      </c>
      <c r="I28" s="16">
        <f>H28/3</f>
        <v>100</v>
      </c>
      <c r="J28" s="16">
        <f>G28*0.6*0</f>
        <v>0</v>
      </c>
      <c r="K28" s="16">
        <f>G28*0.6*1</f>
        <v>600</v>
      </c>
      <c r="L28" s="16">
        <v>0</v>
      </c>
      <c r="O28" s="6"/>
    </row>
    <row r="29" spans="1:15" ht="15.75" thickBot="1" x14ac:dyDescent="0.3">
      <c r="A29" s="14" t="s">
        <v>6</v>
      </c>
      <c r="B29" s="1"/>
      <c r="C29" s="1"/>
      <c r="D29" s="1"/>
      <c r="E29" s="1"/>
      <c r="F29" s="1"/>
      <c r="G29" s="16">
        <f>SUM(G6:G28)</f>
        <v>11748.157894736842</v>
      </c>
      <c r="H29" s="16">
        <f t="shared" ref="H29:K29" si="0">SUM(H6:H28)</f>
        <v>7699.75</v>
      </c>
      <c r="I29" s="16">
        <f t="shared" si="0"/>
        <v>750.85</v>
      </c>
      <c r="J29" s="16">
        <f t="shared" si="0"/>
        <v>259.30526315789473</v>
      </c>
      <c r="K29" s="16">
        <f t="shared" si="0"/>
        <v>3038.2526315789473</v>
      </c>
      <c r="L29" s="16">
        <v>0</v>
      </c>
      <c r="O29" s="6"/>
    </row>
    <row r="30" spans="1:15" ht="9.75" customHeight="1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ht="12" customHeight="1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5" x14ac:dyDescent="0.25">
      <c r="C32" s="8" t="s">
        <v>15</v>
      </c>
      <c r="E32" s="9">
        <f>G32/'Finanční plán podle SCLLD '!G33*100</f>
        <v>10.499569517649775</v>
      </c>
      <c r="G32" s="6">
        <f>SUM(G6:G8)+SUM(G14:G16)+G19+G21</f>
        <v>5263.1578947368416</v>
      </c>
      <c r="H32" s="6">
        <f t="shared" ref="H32:K32" si="1">SUM(H6:H8)+SUM(H14:H16)+H19+H21</f>
        <v>5000</v>
      </c>
      <c r="I32" s="6">
        <f t="shared" si="1"/>
        <v>0</v>
      </c>
      <c r="J32" s="6">
        <f t="shared" si="1"/>
        <v>242.10526315789474</v>
      </c>
      <c r="K32" s="6">
        <f t="shared" si="1"/>
        <v>21.052631578947373</v>
      </c>
    </row>
    <row r="33" spans="3:11" x14ac:dyDescent="0.25">
      <c r="C33" s="8" t="s">
        <v>17</v>
      </c>
      <c r="E33" s="9">
        <f>G33/'Finanční plán podle SCLLD '!G34*100</f>
        <v>9.8682852661126077</v>
      </c>
      <c r="G33" s="6">
        <f>G9+G10+G11+G20+SUM(G24:G28)</f>
        <v>5625</v>
      </c>
      <c r="H33" s="6">
        <f t="shared" ref="H33:K33" si="2">H9+H10+H11+H20+SUM(H24:H28)</f>
        <v>1968.75</v>
      </c>
      <c r="I33" s="6">
        <f t="shared" si="2"/>
        <v>656.25</v>
      </c>
      <c r="J33" s="6">
        <f t="shared" si="2"/>
        <v>0</v>
      </c>
      <c r="K33" s="6">
        <f t="shared" si="2"/>
        <v>3000</v>
      </c>
    </row>
    <row r="34" spans="3:11" x14ac:dyDescent="0.25">
      <c r="C34" s="8" t="s">
        <v>19</v>
      </c>
      <c r="E34" s="9">
        <f>G34/'Finanční plán podle SCLLD '!G35*100</f>
        <v>6.935483870967742</v>
      </c>
      <c r="G34" s="6">
        <f>G17+G18++G22+G23</f>
        <v>860</v>
      </c>
      <c r="H34" s="6">
        <f t="shared" ref="H34:K34" si="3">H17+H18++H22+H23</f>
        <v>731</v>
      </c>
      <c r="I34" s="6">
        <f t="shared" si="3"/>
        <v>94.6</v>
      </c>
      <c r="J34" s="6">
        <f t="shared" si="3"/>
        <v>17.2</v>
      </c>
      <c r="K34" s="6">
        <f t="shared" si="3"/>
        <v>17.2</v>
      </c>
    </row>
    <row r="35" spans="3:11" x14ac:dyDescent="0.25">
      <c r="C35" s="8" t="s">
        <v>26</v>
      </c>
      <c r="E35" s="9">
        <f>G35/'Finanční plán podle SCLLD '!G36*100</f>
        <v>0</v>
      </c>
      <c r="G35" s="6">
        <f>G12+G13</f>
        <v>0</v>
      </c>
      <c r="H35" s="6">
        <f t="shared" ref="H35:K35" si="4">H12+H13</f>
        <v>0</v>
      </c>
      <c r="I35" s="6">
        <f t="shared" si="4"/>
        <v>0</v>
      </c>
      <c r="J35" s="6">
        <f t="shared" si="4"/>
        <v>0</v>
      </c>
      <c r="K35" s="6">
        <f t="shared" si="4"/>
        <v>0</v>
      </c>
    </row>
  </sheetData>
  <sortState ref="B6:M30">
    <sortCondition ref="M30"/>
  </sortState>
  <mergeCells count="18">
    <mergeCell ref="L3:L5"/>
    <mergeCell ref="C4:C5"/>
    <mergeCell ref="D4:D5"/>
    <mergeCell ref="E4:E5"/>
    <mergeCell ref="F4:F5"/>
    <mergeCell ref="G4:G5"/>
    <mergeCell ref="H4:I4"/>
    <mergeCell ref="J4:K4"/>
    <mergeCell ref="C3:F3"/>
    <mergeCell ref="G3:K3"/>
    <mergeCell ref="A21:A23"/>
    <mergeCell ref="A24:A25"/>
    <mergeCell ref="A26:A28"/>
    <mergeCell ref="A3:A5"/>
    <mergeCell ref="B3:B5"/>
    <mergeCell ref="A8:A13"/>
    <mergeCell ref="A15:A18"/>
    <mergeCell ref="A19:A20"/>
  </mergeCells>
  <pageMargins left="0.51181102362204722" right="0.51181102362204722" top="0.78740157480314965" bottom="0.78740157480314965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Finanční plán podle SCLLD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Finanční plán podle OP</vt:lpstr>
      <vt:lpstr>indikátory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Vladana</dc:creator>
  <cp:lastModifiedBy>Kateřina</cp:lastModifiedBy>
  <cp:lastPrinted>2016-01-18T10:42:58Z</cp:lastPrinted>
  <dcterms:created xsi:type="dcterms:W3CDTF">2015-07-20T11:33:36Z</dcterms:created>
  <dcterms:modified xsi:type="dcterms:W3CDTF">2016-01-26T13:05:02Z</dcterms:modified>
</cp:coreProperties>
</file>